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D:\Google drive\教學組業務\02例行事務\04頒獎獎狀\109獎狀列印\暑假作業\"/>
    </mc:Choice>
  </mc:AlternateContent>
  <xr:revisionPtr revIDLastSave="0" documentId="8_{83FCA3D8-9EAC-48E5-B0DF-8F23EB0E7697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六年級" sheetId="11" r:id="rId1"/>
    <sheet name="五年級 " sheetId="10" r:id="rId2"/>
    <sheet name="四年級 " sheetId="9" r:id="rId3"/>
    <sheet name="表單回應 1" sheetId="1" r:id="rId4"/>
    <sheet name="三年級" sheetId="5" r:id="rId5"/>
    <sheet name="彙整表" sheetId="2" state="hidden" r:id="rId6"/>
    <sheet name="依年級排序彙整表" sheetId="3" state="hidden" r:id="rId7"/>
    <sheet name="合併列印名冊" sheetId="4" r:id="rId8"/>
  </sheets>
  <calcPr calcId="191029"/>
</workbook>
</file>

<file path=xl/calcChain.xml><?xml version="1.0" encoding="utf-8"?>
<calcChain xmlns="http://schemas.openxmlformats.org/spreadsheetml/2006/main">
  <c r="L128" i="2" l="1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G51" i="2"/>
  <c r="F51" i="2"/>
  <c r="E51" i="2"/>
  <c r="D51" i="2"/>
  <c r="C51" i="2"/>
  <c r="B51" i="2"/>
  <c r="A51" i="2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7" i="2"/>
  <c r="F47" i="2"/>
  <c r="E47" i="2"/>
  <c r="D47" i="2"/>
  <c r="C47" i="2"/>
  <c r="B47" i="2"/>
  <c r="A47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44" i="2"/>
  <c r="F44" i="2"/>
  <c r="E44" i="2"/>
  <c r="D44" i="2"/>
  <c r="C44" i="2"/>
  <c r="B44" i="2"/>
  <c r="A44" i="2"/>
  <c r="G43" i="2"/>
  <c r="F43" i="2"/>
  <c r="E43" i="2"/>
  <c r="D43" i="2"/>
  <c r="C43" i="2"/>
  <c r="B43" i="2"/>
  <c r="A43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I40" i="2"/>
  <c r="H40" i="2"/>
  <c r="G40" i="2"/>
  <c r="F40" i="2"/>
  <c r="E40" i="2"/>
  <c r="D40" i="2"/>
  <c r="C40" i="2"/>
  <c r="B40" i="2"/>
  <c r="A40" i="2"/>
  <c r="G39" i="2"/>
  <c r="F39" i="2"/>
  <c r="E39" i="2"/>
  <c r="D39" i="2"/>
  <c r="C39" i="2"/>
  <c r="B39" i="2"/>
  <c r="A39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G36" i="2"/>
  <c r="F36" i="2"/>
  <c r="E36" i="2"/>
  <c r="D36" i="2"/>
  <c r="C36" i="2"/>
  <c r="B36" i="2"/>
  <c r="A36" i="2"/>
  <c r="G35" i="2"/>
  <c r="F35" i="2"/>
  <c r="E35" i="2"/>
  <c r="D35" i="2"/>
  <c r="C35" i="2"/>
  <c r="B35" i="2"/>
  <c r="A35" i="2"/>
  <c r="G34" i="2"/>
  <c r="F34" i="2"/>
  <c r="E34" i="2"/>
  <c r="D34" i="2"/>
  <c r="C34" i="2"/>
  <c r="B34" i="2"/>
  <c r="A34" i="2"/>
  <c r="G33" i="2"/>
  <c r="F33" i="2"/>
  <c r="E33" i="2"/>
  <c r="D33" i="2"/>
  <c r="C33" i="2"/>
  <c r="B33" i="2"/>
  <c r="A33" i="2"/>
  <c r="I32" i="2"/>
  <c r="H32" i="2"/>
  <c r="G32" i="2"/>
  <c r="F32" i="2"/>
  <c r="E32" i="2"/>
  <c r="D32" i="2"/>
  <c r="C32" i="2"/>
  <c r="B32" i="2"/>
  <c r="A32" i="2"/>
  <c r="G31" i="2"/>
  <c r="F31" i="2"/>
  <c r="E31" i="2"/>
  <c r="D31" i="2"/>
  <c r="C31" i="2"/>
  <c r="B31" i="2"/>
  <c r="A31" i="2"/>
  <c r="H30" i="2"/>
  <c r="G30" i="2"/>
  <c r="F30" i="2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6" i="2"/>
  <c r="F26" i="2"/>
  <c r="E26" i="2"/>
  <c r="D26" i="2"/>
  <c r="C26" i="2"/>
  <c r="B26" i="2"/>
  <c r="A26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I23" i="2"/>
  <c r="H23" i="2"/>
  <c r="G23" i="2"/>
  <c r="F23" i="2"/>
  <c r="E23" i="2"/>
  <c r="D23" i="2"/>
  <c r="C23" i="2"/>
  <c r="B23" i="2"/>
  <c r="A23" i="2"/>
  <c r="G22" i="2"/>
  <c r="F22" i="2"/>
  <c r="E22" i="2"/>
  <c r="D22" i="2"/>
  <c r="C22" i="2"/>
  <c r="B22" i="2"/>
  <c r="A22" i="2"/>
  <c r="G21" i="2"/>
  <c r="F21" i="2"/>
  <c r="E21" i="2"/>
  <c r="D21" i="2"/>
  <c r="C21" i="2"/>
  <c r="B21" i="2"/>
  <c r="A21" i="2"/>
  <c r="G20" i="2"/>
  <c r="F20" i="2"/>
  <c r="E20" i="2"/>
  <c r="D20" i="2"/>
  <c r="C20" i="2"/>
  <c r="B20" i="2"/>
  <c r="A20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A17" i="2"/>
  <c r="G16" i="2"/>
  <c r="F16" i="2"/>
  <c r="E16" i="2"/>
  <c r="D16" i="2"/>
  <c r="C16" i="2"/>
  <c r="B16" i="2"/>
  <c r="A16" i="2"/>
  <c r="G15" i="2"/>
  <c r="F15" i="2"/>
  <c r="E15" i="2"/>
  <c r="D15" i="2"/>
  <c r="C15" i="2"/>
  <c r="B15" i="2"/>
  <c r="A15" i="2"/>
  <c r="G14" i="2"/>
  <c r="F14" i="2"/>
  <c r="E14" i="2"/>
  <c r="D14" i="2"/>
  <c r="C14" i="2"/>
  <c r="B14" i="2"/>
  <c r="A14" i="2"/>
  <c r="G13" i="2"/>
  <c r="F13" i="2"/>
  <c r="E13" i="2"/>
  <c r="D13" i="2"/>
  <c r="C13" i="2"/>
  <c r="B13" i="2"/>
  <c r="A13" i="2"/>
  <c r="I12" i="2"/>
  <c r="H12" i="2"/>
  <c r="G12" i="2"/>
  <c r="F12" i="2"/>
  <c r="E12" i="2"/>
  <c r="D12" i="2"/>
  <c r="C12" i="2"/>
  <c r="B12" i="2"/>
  <c r="A12" i="2"/>
  <c r="G11" i="2"/>
  <c r="F11" i="2"/>
  <c r="E11" i="2"/>
  <c r="D11" i="2"/>
  <c r="C11" i="2"/>
  <c r="B11" i="2"/>
  <c r="A11" i="2"/>
  <c r="G10" i="2"/>
  <c r="F10" i="2"/>
  <c r="E10" i="2"/>
  <c r="D10" i="2"/>
  <c r="C10" i="2"/>
  <c r="B10" i="2"/>
  <c r="A10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  <c r="G3" i="2"/>
  <c r="F3" i="2"/>
  <c r="E3" i="2"/>
  <c r="D3" i="2"/>
  <c r="C3" i="2"/>
  <c r="B3" i="2"/>
  <c r="A3" i="2"/>
  <c r="G2" i="2"/>
  <c r="F2" i="2"/>
  <c r="E2" i="2"/>
  <c r="D2" i="2"/>
  <c r="C2" i="2"/>
  <c r="B2" i="2"/>
  <c r="A2" i="2"/>
  <c r="G1" i="2"/>
  <c r="F1" i="2"/>
  <c r="E1" i="2"/>
  <c r="D1" i="2"/>
  <c r="C1" i="2"/>
  <c r="B1" i="2"/>
  <c r="A1" i="2"/>
  <c r="L3" i="2" l="1"/>
  <c r="L9" i="2"/>
  <c r="L28" i="2"/>
  <c r="L32" i="2"/>
  <c r="L36" i="2"/>
  <c r="L45" i="2"/>
  <c r="L51" i="2"/>
  <c r="L25" i="2"/>
  <c r="L30" i="2"/>
  <c r="L33" i="2"/>
  <c r="L39" i="2"/>
  <c r="L42" i="2"/>
  <c r="L46" i="2"/>
  <c r="L48" i="2"/>
  <c r="L37" i="2"/>
  <c r="L38" i="2"/>
  <c r="L34" i="2"/>
  <c r="L40" i="2"/>
  <c r="L43" i="2"/>
  <c r="L49" i="2"/>
  <c r="L23" i="2"/>
  <c r="L4" i="2"/>
  <c r="L10" i="2"/>
  <c r="L20" i="2"/>
  <c r="L21" i="2"/>
  <c r="L6" i="2"/>
  <c r="L12" i="2"/>
  <c r="L22" i="2"/>
  <c r="L2" i="2"/>
  <c r="E73" i="3" s="1"/>
  <c r="L7" i="2"/>
  <c r="L8" i="2"/>
  <c r="L15" i="2"/>
  <c r="L16" i="2"/>
  <c r="L24" i="2"/>
  <c r="L29" i="2"/>
  <c r="L41" i="2"/>
  <c r="L47" i="2"/>
  <c r="L17" i="2"/>
  <c r="L13" i="2"/>
  <c r="L18" i="2"/>
  <c r="L19" i="2"/>
  <c r="L26" i="2"/>
  <c r="L5" i="2"/>
  <c r="L11" i="2"/>
  <c r="L14" i="2"/>
  <c r="L27" i="2"/>
  <c r="L31" i="2"/>
  <c r="L35" i="2"/>
  <c r="L44" i="2"/>
  <c r="L50" i="2"/>
  <c r="K31" i="3" l="1"/>
  <c r="J11" i="3"/>
  <c r="J38" i="3"/>
  <c r="I43" i="3"/>
  <c r="C73" i="3"/>
  <c r="C13" i="3"/>
  <c r="K74" i="3"/>
  <c r="I26" i="3"/>
  <c r="D32" i="3"/>
  <c r="G31" i="3"/>
  <c r="C28" i="3"/>
  <c r="G33" i="3"/>
  <c r="G74" i="3"/>
  <c r="D72" i="3"/>
  <c r="H4" i="3"/>
  <c r="I72" i="3"/>
  <c r="H38" i="3"/>
  <c r="K18" i="3"/>
  <c r="H13" i="3"/>
  <c r="H12" i="3"/>
  <c r="H39" i="3"/>
  <c r="H72" i="3"/>
  <c r="I9" i="3"/>
  <c r="D9" i="3"/>
  <c r="H21" i="3"/>
  <c r="H73" i="3"/>
  <c r="J34" i="3"/>
  <c r="C32" i="3"/>
  <c r="G14" i="3"/>
  <c r="E23" i="3"/>
  <c r="J33" i="3"/>
  <c r="C3" i="3"/>
  <c r="I17" i="3"/>
  <c r="F37" i="3"/>
  <c r="E33" i="3"/>
  <c r="D17" i="3"/>
  <c r="E31" i="3"/>
  <c r="D42" i="3"/>
  <c r="F73" i="3"/>
  <c r="C33" i="3"/>
  <c r="D39" i="3"/>
  <c r="K73" i="3"/>
  <c r="C5" i="3"/>
  <c r="C19" i="3"/>
  <c r="D60" i="3"/>
  <c r="J3" i="3"/>
  <c r="D21" i="3"/>
  <c r="E4" i="3"/>
  <c r="C38" i="3"/>
  <c r="D74" i="3"/>
  <c r="K28" i="3"/>
  <c r="C37" i="3"/>
  <c r="D73" i="3"/>
  <c r="H74" i="3"/>
  <c r="C30" i="3"/>
  <c r="F8" i="3"/>
  <c r="F22" i="3"/>
  <c r="D68" i="3"/>
  <c r="D5" i="3"/>
  <c r="G22" i="3"/>
  <c r="G39" i="3"/>
  <c r="G73" i="3"/>
  <c r="J28" i="3"/>
  <c r="H33" i="3"/>
  <c r="I39" i="3"/>
  <c r="J73" i="3"/>
  <c r="F57" i="3"/>
  <c r="D33" i="3"/>
  <c r="F14" i="3"/>
  <c r="H26" i="3"/>
  <c r="J40" i="3"/>
  <c r="I28" i="3"/>
  <c r="J72" i="3"/>
  <c r="K8" i="3"/>
  <c r="I5" i="3"/>
  <c r="C15" i="3"/>
  <c r="F20" i="3"/>
  <c r="D40" i="3"/>
  <c r="G6" i="3"/>
  <c r="G12" i="3"/>
  <c r="J17" i="3"/>
  <c r="D24" i="3"/>
  <c r="J48" i="3"/>
  <c r="K6" i="3"/>
  <c r="K5" i="3"/>
  <c r="K13" i="3"/>
  <c r="H24" i="3"/>
  <c r="J50" i="3"/>
  <c r="E12" i="3"/>
  <c r="G71" i="3"/>
  <c r="F6" i="3"/>
  <c r="C11" i="3"/>
  <c r="F16" i="3"/>
  <c r="C21" i="3"/>
  <c r="F29" i="3"/>
  <c r="D44" i="3"/>
  <c r="K2" i="3"/>
  <c r="G75" i="3"/>
  <c r="J7" i="3"/>
  <c r="D13" i="3"/>
  <c r="G18" i="3"/>
  <c r="D28" i="3"/>
  <c r="J52" i="3"/>
  <c r="K23" i="3"/>
  <c r="H6" i="3"/>
  <c r="K15" i="3"/>
  <c r="H28" i="3"/>
  <c r="I14" i="3"/>
  <c r="E8" i="3"/>
  <c r="F39" i="3"/>
  <c r="C74" i="3"/>
  <c r="E40" i="3"/>
  <c r="I33" i="3"/>
  <c r="I73" i="3"/>
  <c r="J39" i="3"/>
  <c r="E39" i="3"/>
  <c r="G55" i="3"/>
  <c r="F10" i="3"/>
  <c r="H15" i="3"/>
  <c r="F2" i="3"/>
  <c r="C7" i="3"/>
  <c r="F12" i="3"/>
  <c r="C17" i="3"/>
  <c r="I21" i="3"/>
  <c r="I30" i="3"/>
  <c r="D48" i="3"/>
  <c r="H9" i="3"/>
  <c r="G2" i="3"/>
  <c r="G8" i="3"/>
  <c r="J13" i="3"/>
  <c r="J19" i="3"/>
  <c r="G29" i="3"/>
  <c r="J56" i="3"/>
  <c r="H30" i="3"/>
  <c r="K7" i="3"/>
  <c r="K17" i="3"/>
  <c r="I18" i="3"/>
  <c r="D4" i="3"/>
  <c r="F43" i="3"/>
  <c r="I74" i="3"/>
  <c r="H43" i="3"/>
  <c r="F74" i="3"/>
  <c r="D43" i="3"/>
  <c r="K39" i="3"/>
  <c r="H10" i="3"/>
  <c r="F45" i="3"/>
  <c r="J31" i="3"/>
  <c r="G25" i="3"/>
  <c r="H18" i="3"/>
  <c r="E22" i="3"/>
  <c r="F4" i="3"/>
  <c r="C9" i="3"/>
  <c r="I13" i="3"/>
  <c r="F18" i="3"/>
  <c r="C23" i="3"/>
  <c r="F35" i="3"/>
  <c r="D64" i="3"/>
  <c r="H17" i="3"/>
  <c r="G4" i="3"/>
  <c r="J9" i="3"/>
  <c r="G16" i="3"/>
  <c r="J21" i="3"/>
  <c r="J76" i="3"/>
  <c r="G67" i="3"/>
  <c r="E11" i="3"/>
  <c r="E19" i="3"/>
  <c r="H31" i="3"/>
  <c r="E74" i="3"/>
  <c r="C43" i="3"/>
  <c r="G35" i="3"/>
  <c r="J60" i="3"/>
  <c r="E10" i="3"/>
  <c r="E3" i="3"/>
  <c r="H8" i="3"/>
  <c r="H14" i="3"/>
  <c r="H20" i="3"/>
  <c r="H32" i="3"/>
  <c r="G43" i="3"/>
  <c r="F31" i="3"/>
  <c r="D8" i="3"/>
  <c r="J74" i="3"/>
  <c r="F69" i="3"/>
  <c r="F77" i="3"/>
  <c r="E38" i="3"/>
  <c r="E72" i="3"/>
  <c r="C31" i="3"/>
  <c r="F38" i="3"/>
  <c r="I71" i="3"/>
  <c r="G28" i="3"/>
  <c r="J37" i="3"/>
  <c r="D59" i="3"/>
  <c r="E37" i="3"/>
  <c r="K43" i="3"/>
  <c r="K4" i="3"/>
  <c r="K27" i="3"/>
  <c r="I3" i="3"/>
  <c r="I7" i="3"/>
  <c r="I11" i="3"/>
  <c r="I15" i="3"/>
  <c r="I19" i="3"/>
  <c r="C24" i="3"/>
  <c r="F33" i="3"/>
  <c r="D56" i="3"/>
  <c r="E6" i="3"/>
  <c r="G47" i="3"/>
  <c r="J5" i="3"/>
  <c r="G10" i="3"/>
  <c r="J15" i="3"/>
  <c r="G20" i="3"/>
  <c r="J26" i="3"/>
  <c r="G37" i="3"/>
  <c r="J64" i="3"/>
  <c r="E20" i="3"/>
  <c r="K3" i="3"/>
  <c r="K9" i="3"/>
  <c r="E15" i="3"/>
  <c r="H22" i="3"/>
  <c r="C34" i="3"/>
  <c r="I6" i="3"/>
  <c r="D38" i="3"/>
  <c r="D20" i="3"/>
  <c r="I38" i="3"/>
  <c r="C72" i="3"/>
  <c r="E28" i="3"/>
  <c r="K38" i="3"/>
  <c r="K72" i="3"/>
  <c r="I31" i="3"/>
  <c r="C39" i="3"/>
  <c r="F72" i="3"/>
  <c r="D31" i="3"/>
  <c r="G38" i="3"/>
  <c r="G72" i="3"/>
  <c r="K37" i="3"/>
  <c r="H60" i="3"/>
  <c r="H37" i="3"/>
  <c r="E60" i="3"/>
  <c r="F28" i="3"/>
  <c r="I37" i="3"/>
  <c r="I47" i="3"/>
  <c r="I79" i="3"/>
  <c r="D37" i="3"/>
  <c r="J43" i="3"/>
  <c r="K33" i="3"/>
  <c r="E43" i="3"/>
  <c r="E77" i="3"/>
  <c r="F25" i="3"/>
  <c r="K19" i="3"/>
  <c r="K75" i="3"/>
  <c r="K71" i="3"/>
  <c r="K67" i="3"/>
  <c r="K63" i="3"/>
  <c r="K59" i="3"/>
  <c r="K55" i="3"/>
  <c r="K51" i="3"/>
  <c r="K47" i="3"/>
  <c r="K35" i="3"/>
  <c r="G78" i="3"/>
  <c r="G70" i="3"/>
  <c r="G66" i="3"/>
  <c r="G62" i="3"/>
  <c r="G58" i="3"/>
  <c r="G54" i="3"/>
  <c r="G50" i="3"/>
  <c r="G46" i="3"/>
  <c r="G42" i="3"/>
  <c r="G34" i="3"/>
  <c r="G30" i="3"/>
  <c r="G26" i="3"/>
  <c r="C79" i="3"/>
  <c r="C75" i="3"/>
  <c r="C71" i="3"/>
  <c r="C67" i="3"/>
  <c r="C63" i="3"/>
  <c r="C59" i="3"/>
  <c r="C55" i="3"/>
  <c r="C51" i="3"/>
  <c r="C47" i="3"/>
  <c r="C35" i="3"/>
  <c r="C27" i="3"/>
  <c r="H79" i="3"/>
  <c r="H75" i="3"/>
  <c r="H71" i="3"/>
  <c r="H67" i="3"/>
  <c r="H63" i="3"/>
  <c r="H59" i="3"/>
  <c r="H55" i="3"/>
  <c r="H51" i="3"/>
  <c r="H47" i="3"/>
  <c r="H35" i="3"/>
  <c r="H27" i="3"/>
  <c r="H23" i="3"/>
  <c r="I76" i="3"/>
  <c r="I68" i="3"/>
  <c r="I64" i="3"/>
  <c r="I60" i="3"/>
  <c r="I56" i="3"/>
  <c r="I52" i="3"/>
  <c r="I48" i="3"/>
  <c r="I44" i="3"/>
  <c r="I40" i="3"/>
  <c r="J70" i="3"/>
  <c r="J46" i="3"/>
  <c r="G23" i="3"/>
  <c r="G19" i="3"/>
  <c r="G15" i="3"/>
  <c r="G11" i="3"/>
  <c r="G7" i="3"/>
  <c r="G3" i="3"/>
  <c r="K22" i="3"/>
  <c r="H5" i="3"/>
  <c r="D62" i="3"/>
  <c r="C22" i="3"/>
  <c r="C18" i="3"/>
  <c r="C14" i="3"/>
  <c r="C10" i="3"/>
  <c r="C6" i="3"/>
  <c r="C2" i="3"/>
  <c r="E18" i="3"/>
  <c r="G49" i="3"/>
  <c r="E75" i="3"/>
  <c r="E71" i="3"/>
  <c r="E67" i="3"/>
  <c r="E63" i="3"/>
  <c r="E59" i="3"/>
  <c r="E55" i="3"/>
  <c r="E51" i="3"/>
  <c r="E47" i="3"/>
  <c r="E35" i="3"/>
  <c r="J77" i="3"/>
  <c r="J69" i="3"/>
  <c r="J65" i="3"/>
  <c r="J61" i="3"/>
  <c r="J57" i="3"/>
  <c r="J53" i="3"/>
  <c r="J49" i="3"/>
  <c r="J45" i="3"/>
  <c r="J41" i="3"/>
  <c r="J29" i="3"/>
  <c r="J25" i="3"/>
  <c r="F78" i="3"/>
  <c r="F70" i="3"/>
  <c r="F66" i="3"/>
  <c r="F62" i="3"/>
  <c r="F58" i="3"/>
  <c r="F54" i="3"/>
  <c r="F50" i="3"/>
  <c r="F46" i="3"/>
  <c r="F42" i="3"/>
  <c r="F34" i="3"/>
  <c r="F30" i="3"/>
  <c r="F26" i="3"/>
  <c r="K78" i="3"/>
  <c r="K70" i="3"/>
  <c r="K66" i="3"/>
  <c r="K62" i="3"/>
  <c r="K58" i="3"/>
  <c r="K54" i="3"/>
  <c r="K50" i="3"/>
  <c r="K46" i="3"/>
  <c r="K42" i="3"/>
  <c r="K34" i="3"/>
  <c r="K30" i="3"/>
  <c r="K26" i="3"/>
  <c r="G79" i="3"/>
  <c r="C76" i="3"/>
  <c r="C68" i="3"/>
  <c r="C64" i="3"/>
  <c r="C60" i="3"/>
  <c r="C56" i="3"/>
  <c r="C52" i="3"/>
  <c r="C48" i="3"/>
  <c r="C44" i="3"/>
  <c r="C40" i="3"/>
  <c r="J66" i="3"/>
  <c r="J42" i="3"/>
  <c r="D30" i="3"/>
  <c r="J22" i="3"/>
  <c r="J18" i="3"/>
  <c r="J14" i="3"/>
  <c r="J10" i="3"/>
  <c r="J6" i="3"/>
  <c r="J2" i="3"/>
  <c r="H19" i="3"/>
  <c r="E2" i="3"/>
  <c r="D58" i="3"/>
  <c r="D36" i="3"/>
  <c r="F27" i="3"/>
  <c r="F21" i="3"/>
  <c r="F17" i="3"/>
  <c r="F13" i="3"/>
  <c r="F9" i="3"/>
  <c r="F5" i="3"/>
  <c r="G63" i="3"/>
  <c r="K14" i="3"/>
  <c r="G69" i="3"/>
  <c r="G45" i="3"/>
  <c r="H70" i="3"/>
  <c r="H66" i="3"/>
  <c r="H62" i="3"/>
  <c r="H58" i="3"/>
  <c r="H54" i="3"/>
  <c r="H50" i="3"/>
  <c r="H46" i="3"/>
  <c r="H42" i="3"/>
  <c r="H34" i="3"/>
  <c r="D77" i="3"/>
  <c r="D69" i="3"/>
  <c r="D65" i="3"/>
  <c r="D61" i="3"/>
  <c r="D57" i="3"/>
  <c r="D53" i="3"/>
  <c r="D49" i="3"/>
  <c r="D45" i="3"/>
  <c r="D41" i="3"/>
  <c r="D29" i="3"/>
  <c r="D25" i="3"/>
  <c r="I77" i="3"/>
  <c r="I69" i="3"/>
  <c r="I65" i="3"/>
  <c r="I61" i="3"/>
  <c r="I57" i="3"/>
  <c r="I53" i="3"/>
  <c r="I49" i="3"/>
  <c r="I45" i="3"/>
  <c r="I41" i="3"/>
  <c r="I29" i="3"/>
  <c r="I25" i="3"/>
  <c r="E78" i="3"/>
  <c r="E70" i="3"/>
  <c r="E66" i="3"/>
  <c r="E62" i="3"/>
  <c r="E58" i="3"/>
  <c r="E54" i="3"/>
  <c r="E50" i="3"/>
  <c r="E46" i="3"/>
  <c r="E42" i="3"/>
  <c r="E34" i="3"/>
  <c r="E30" i="3"/>
  <c r="E26" i="3"/>
  <c r="F79" i="3"/>
  <c r="F75" i="3"/>
  <c r="F71" i="3"/>
  <c r="F67" i="3"/>
  <c r="F63" i="3"/>
  <c r="F59" i="3"/>
  <c r="F55" i="3"/>
  <c r="F51" i="3"/>
  <c r="F47" i="3"/>
  <c r="J62" i="3"/>
  <c r="D22" i="3"/>
  <c r="D18" i="3"/>
  <c r="D14" i="3"/>
  <c r="D10" i="3"/>
  <c r="D6" i="3"/>
  <c r="D2" i="3"/>
  <c r="E16" i="3"/>
  <c r="D78" i="3"/>
  <c r="D54" i="3"/>
  <c r="D34" i="3"/>
  <c r="C26" i="3"/>
  <c r="I20" i="3"/>
  <c r="I16" i="3"/>
  <c r="I12" i="3"/>
  <c r="I8" i="3"/>
  <c r="I4" i="3"/>
  <c r="K10" i="3"/>
  <c r="G65" i="3"/>
  <c r="G41" i="3"/>
  <c r="K29" i="3"/>
  <c r="K69" i="3"/>
  <c r="K65" i="3"/>
  <c r="K61" i="3"/>
  <c r="K57" i="3"/>
  <c r="K53" i="3"/>
  <c r="K49" i="3"/>
  <c r="K45" i="3"/>
  <c r="K41" i="3"/>
  <c r="G76" i="3"/>
  <c r="G68" i="3"/>
  <c r="G64" i="3"/>
  <c r="G60" i="3"/>
  <c r="G56" i="3"/>
  <c r="G52" i="3"/>
  <c r="G48" i="3"/>
  <c r="G44" i="3"/>
  <c r="G40" i="3"/>
  <c r="G36" i="3"/>
  <c r="G32" i="3"/>
  <c r="G24" i="3"/>
  <c r="C77" i="3"/>
  <c r="C69" i="3"/>
  <c r="C65" i="3"/>
  <c r="C61" i="3"/>
  <c r="C57" i="3"/>
  <c r="C53" i="3"/>
  <c r="C49" i="3"/>
  <c r="C45" i="3"/>
  <c r="C41" i="3"/>
  <c r="C29" i="3"/>
  <c r="C25" i="3"/>
  <c r="H77" i="3"/>
  <c r="H69" i="3"/>
  <c r="H65" i="3"/>
  <c r="H61" i="3"/>
  <c r="H57" i="3"/>
  <c r="H53" i="3"/>
  <c r="H49" i="3"/>
  <c r="H45" i="3"/>
  <c r="H41" i="3"/>
  <c r="H29" i="3"/>
  <c r="H25" i="3"/>
  <c r="I78" i="3"/>
  <c r="I70" i="3"/>
  <c r="I66" i="3"/>
  <c r="I62" i="3"/>
  <c r="I58" i="3"/>
  <c r="I54" i="3"/>
  <c r="I50" i="3"/>
  <c r="I46" i="3"/>
  <c r="I42" i="3"/>
  <c r="J58" i="3"/>
  <c r="I36" i="3"/>
  <c r="G27" i="3"/>
  <c r="G21" i="3"/>
  <c r="G17" i="3"/>
  <c r="G13" i="3"/>
  <c r="G9" i="3"/>
  <c r="G5" i="3"/>
  <c r="G59" i="3"/>
  <c r="K12" i="3"/>
  <c r="D50" i="3"/>
  <c r="I32" i="3"/>
  <c r="I24" i="3"/>
  <c r="C20" i="3"/>
  <c r="C16" i="3"/>
  <c r="C12" i="3"/>
  <c r="C8" i="3"/>
  <c r="C4" i="3"/>
  <c r="H7" i="3"/>
  <c r="G61" i="3"/>
  <c r="E41" i="3"/>
  <c r="J79" i="3"/>
  <c r="J75" i="3"/>
  <c r="J71" i="3"/>
  <c r="J67" i="3"/>
  <c r="J63" i="3"/>
  <c r="J59" i="3"/>
  <c r="J55" i="3"/>
  <c r="J51" i="3"/>
  <c r="J47" i="3"/>
  <c r="J35" i="3"/>
  <c r="J27" i="3"/>
  <c r="J23" i="3"/>
  <c r="F76" i="3"/>
  <c r="F68" i="3"/>
  <c r="F64" i="3"/>
  <c r="F60" i="3"/>
  <c r="F56" i="3"/>
  <c r="F52" i="3"/>
  <c r="F48" i="3"/>
  <c r="F44" i="3"/>
  <c r="F40" i="3"/>
  <c r="F36" i="3"/>
  <c r="F32" i="3"/>
  <c r="F24" i="3"/>
  <c r="K76" i="3"/>
  <c r="K68" i="3"/>
  <c r="K64" i="3"/>
  <c r="K60" i="3"/>
  <c r="K56" i="3"/>
  <c r="K52" i="3"/>
  <c r="K48" i="3"/>
  <c r="K44" i="3"/>
  <c r="K40" i="3"/>
  <c r="K36" i="3"/>
  <c r="K32" i="3"/>
  <c r="K24" i="3"/>
  <c r="C78" i="3"/>
  <c r="C70" i="3"/>
  <c r="C66" i="3"/>
  <c r="C62" i="3"/>
  <c r="C58" i="3"/>
  <c r="C54" i="3"/>
  <c r="C50" i="3"/>
  <c r="C46" i="3"/>
  <c r="C42" i="3"/>
  <c r="J78" i="3"/>
  <c r="J54" i="3"/>
  <c r="I34" i="3"/>
  <c r="D26" i="3"/>
  <c r="J20" i="3"/>
  <c r="J16" i="3"/>
  <c r="J12" i="3"/>
  <c r="J8" i="3"/>
  <c r="J4" i="3"/>
  <c r="J36" i="3"/>
  <c r="H11" i="3"/>
  <c r="D70" i="3"/>
  <c r="D46" i="3"/>
  <c r="F23" i="3"/>
  <c r="F19" i="3"/>
  <c r="F15" i="3"/>
  <c r="F11" i="3"/>
  <c r="F7" i="3"/>
  <c r="F3" i="3"/>
  <c r="E25" i="3"/>
  <c r="H3" i="3"/>
  <c r="G57" i="3"/>
  <c r="C36" i="3"/>
  <c r="E27" i="3"/>
  <c r="E21" i="3"/>
  <c r="E17" i="3"/>
  <c r="E13" i="3"/>
  <c r="E9" i="3"/>
  <c r="E5" i="3"/>
  <c r="G51" i="3"/>
  <c r="E14" i="3"/>
  <c r="D52" i="3"/>
  <c r="D76" i="3"/>
  <c r="K20" i="3"/>
  <c r="D3" i="3"/>
  <c r="D7" i="3"/>
  <c r="D11" i="3"/>
  <c r="D15" i="3"/>
  <c r="D19" i="3"/>
  <c r="D23" i="3"/>
  <c r="J30" i="3"/>
  <c r="J44" i="3"/>
  <c r="J68" i="3"/>
  <c r="K16" i="3"/>
  <c r="H2" i="3"/>
  <c r="E7" i="3"/>
  <c r="K11" i="3"/>
  <c r="H16" i="3"/>
  <c r="K21" i="3"/>
  <c r="G77" i="3"/>
  <c r="I10" i="3"/>
  <c r="E29" i="3"/>
  <c r="J24" i="3"/>
  <c r="F49" i="3"/>
  <c r="E24" i="3"/>
  <c r="E36" i="3"/>
  <c r="E64" i="3"/>
  <c r="I51" i="3"/>
  <c r="D27" i="3"/>
  <c r="D35" i="3"/>
  <c r="D63" i="3"/>
  <c r="H64" i="3"/>
  <c r="F53" i="3"/>
  <c r="E44" i="3"/>
  <c r="E68" i="3"/>
  <c r="E76" i="3"/>
  <c r="I55" i="3"/>
  <c r="D67" i="3"/>
  <c r="D75" i="3"/>
  <c r="H44" i="3"/>
  <c r="H68" i="3"/>
  <c r="E48" i="3"/>
  <c r="I23" i="3"/>
  <c r="I59" i="3"/>
  <c r="D47" i="3"/>
  <c r="D71" i="3"/>
  <c r="D79" i="3"/>
  <c r="H48" i="3"/>
  <c r="I22" i="3"/>
  <c r="D66" i="3"/>
  <c r="D12" i="3"/>
  <c r="J32" i="3"/>
  <c r="F41" i="3"/>
  <c r="F61" i="3"/>
  <c r="E52" i="3"/>
  <c r="I27" i="3"/>
  <c r="I35" i="3"/>
  <c r="I63" i="3"/>
  <c r="D51" i="3"/>
  <c r="H52" i="3"/>
  <c r="K25" i="3"/>
  <c r="G53" i="3"/>
  <c r="I2" i="3"/>
  <c r="D16" i="3"/>
  <c r="F65" i="3"/>
  <c r="E32" i="3"/>
  <c r="E56" i="3"/>
  <c r="I67" i="3"/>
  <c r="I75" i="3"/>
  <c r="D55" i="3"/>
  <c r="H36" i="3"/>
  <c r="H40" i="3"/>
  <c r="H56" i="3"/>
  <c r="E45" i="3"/>
  <c r="E49" i="3"/>
  <c r="E53" i="3"/>
  <c r="E57" i="3"/>
  <c r="E61" i="3"/>
  <c r="E65" i="3"/>
  <c r="E69" i="3"/>
  <c r="H76" i="3"/>
  <c r="K77" i="3"/>
  <c r="H78" i="3"/>
  <c r="E79" i="3"/>
  <c r="K79" i="3"/>
</calcChain>
</file>

<file path=xl/sharedStrings.xml><?xml version="1.0" encoding="utf-8"?>
<sst xmlns="http://schemas.openxmlformats.org/spreadsheetml/2006/main" count="1392" uniqueCount="280">
  <si>
    <t>時間戳記</t>
  </si>
  <si>
    <t>年級</t>
  </si>
  <si>
    <t>班級</t>
  </si>
  <si>
    <t>學生姓名1</t>
  </si>
  <si>
    <t>學生姓名2</t>
  </si>
  <si>
    <t>學生姓名3</t>
  </si>
  <si>
    <t>學生姓名4</t>
  </si>
  <si>
    <t>學生姓名5</t>
  </si>
  <si>
    <t>六</t>
  </si>
  <si>
    <t>蔡宇銨</t>
  </si>
  <si>
    <t>徐瑋承</t>
  </si>
  <si>
    <t>魏沅𦵴</t>
  </si>
  <si>
    <t>陳芊妘</t>
  </si>
  <si>
    <t>林靖恩</t>
  </si>
  <si>
    <t>簡翊庭</t>
  </si>
  <si>
    <t>官庭佑</t>
  </si>
  <si>
    <t>蔡雁婷</t>
  </si>
  <si>
    <t>曹至廷</t>
  </si>
  <si>
    <t>徐振泓</t>
  </si>
  <si>
    <t>三</t>
  </si>
  <si>
    <t>許以澔</t>
  </si>
  <si>
    <t>楊詠甯</t>
  </si>
  <si>
    <t>孔湘寧</t>
  </si>
  <si>
    <t>李浚瑀</t>
  </si>
  <si>
    <t>田昱霖</t>
  </si>
  <si>
    <t>陳柏嘉</t>
  </si>
  <si>
    <t>劉易澈</t>
  </si>
  <si>
    <t>趙詠妍</t>
  </si>
  <si>
    <t>郭晅孜</t>
  </si>
  <si>
    <t>張以樂</t>
  </si>
  <si>
    <t>徐立杰</t>
  </si>
  <si>
    <t>王梓懷</t>
  </si>
  <si>
    <t>簡葶安</t>
  </si>
  <si>
    <t>陳羽樂</t>
  </si>
  <si>
    <t>葉爰圻</t>
  </si>
  <si>
    <t>四</t>
  </si>
  <si>
    <t>林于捷</t>
  </si>
  <si>
    <t>洪憶忻</t>
  </si>
  <si>
    <t>林宸昊</t>
  </si>
  <si>
    <t>賴亭諭</t>
  </si>
  <si>
    <t>王紫綸</t>
  </si>
  <si>
    <t>鄧祺勳</t>
  </si>
  <si>
    <t>林子晴</t>
  </si>
  <si>
    <t>詹儷鳳</t>
  </si>
  <si>
    <t>詹鎧緁</t>
  </si>
  <si>
    <t>吳承軒</t>
  </si>
  <si>
    <t>李玥樂</t>
  </si>
  <si>
    <t>陳品妘</t>
  </si>
  <si>
    <t>簡郁蓁</t>
  </si>
  <si>
    <t>黃允柔</t>
  </si>
  <si>
    <t>鍾奇家</t>
  </si>
  <si>
    <t>佟安晴</t>
  </si>
  <si>
    <t>江綺恩</t>
  </si>
  <si>
    <t>吳姵澄</t>
  </si>
  <si>
    <t>謝雨恬</t>
  </si>
  <si>
    <t>陳炘妤</t>
  </si>
  <si>
    <t>張妡語</t>
  </si>
  <si>
    <t>陳昀貞</t>
  </si>
  <si>
    <t>林芝妍</t>
  </si>
  <si>
    <t>李羚羚</t>
  </si>
  <si>
    <t>童鈺恩</t>
  </si>
  <si>
    <t>郭綺芸</t>
  </si>
  <si>
    <t>林郁晨</t>
  </si>
  <si>
    <t>陳廷洛</t>
  </si>
  <si>
    <t>李少白</t>
  </si>
  <si>
    <t>李尚磊</t>
  </si>
  <si>
    <t>姜安宇</t>
  </si>
  <si>
    <t>李聖杰</t>
  </si>
  <si>
    <t>田渤琇</t>
  </si>
  <si>
    <t>王丞洋</t>
  </si>
  <si>
    <t>蔡武諺</t>
  </si>
  <si>
    <t>黃心澄</t>
  </si>
  <si>
    <t>王晨希</t>
  </si>
  <si>
    <t>五</t>
  </si>
  <si>
    <t>林婕妤</t>
  </si>
  <si>
    <t>李宥朋</t>
  </si>
  <si>
    <t>陳芯琳</t>
  </si>
  <si>
    <t>謝育愷</t>
  </si>
  <si>
    <t>王瑜應</t>
  </si>
  <si>
    <t>劉宣妤</t>
  </si>
  <si>
    <t>徐婕純</t>
  </si>
  <si>
    <t>胡予涵</t>
  </si>
  <si>
    <t>陳琬琪</t>
  </si>
  <si>
    <t>杜旻烜</t>
  </si>
  <si>
    <t>吳秉叡</t>
  </si>
  <si>
    <t>邱奕學</t>
  </si>
  <si>
    <t>林書緹</t>
  </si>
  <si>
    <t>莊心妍</t>
  </si>
  <si>
    <t>李芮瑪</t>
  </si>
  <si>
    <t>周沛穎</t>
  </si>
  <si>
    <t>鄧丞妤</t>
  </si>
  <si>
    <t>李谷凌</t>
  </si>
  <si>
    <t>楊禾羽</t>
  </si>
  <si>
    <t xml:space="preserve">施安㚬 </t>
  </si>
  <si>
    <t>吳政憲</t>
  </si>
  <si>
    <t>侯伯昌</t>
  </si>
  <si>
    <t>彭澄菩</t>
  </si>
  <si>
    <t>游登媄</t>
  </si>
  <si>
    <t>朱秀庭</t>
  </si>
  <si>
    <t>黃世竣</t>
  </si>
  <si>
    <t>鄭詠心</t>
  </si>
  <si>
    <t>胡振鈴</t>
  </si>
  <si>
    <t>李芸萍</t>
  </si>
  <si>
    <t>陳守辰</t>
  </si>
  <si>
    <t>周采葳</t>
  </si>
  <si>
    <t>李友耘</t>
  </si>
  <si>
    <t>賴宥羽</t>
  </si>
  <si>
    <t>王靖婷</t>
  </si>
  <si>
    <t>陳瑜心</t>
  </si>
  <si>
    <t xml:space="preserve">陳瑜心 </t>
  </si>
  <si>
    <t xml:space="preserve">孫紹銓 </t>
  </si>
  <si>
    <t>林亮瑜</t>
  </si>
  <si>
    <t>陳立恩</t>
  </si>
  <si>
    <t>王禹傑</t>
  </si>
  <si>
    <t>李翊榛</t>
  </si>
  <si>
    <t>柳柔宇</t>
  </si>
  <si>
    <t>吳德軒</t>
  </si>
  <si>
    <t>許佑銘</t>
  </si>
  <si>
    <t>施淮茞</t>
  </si>
  <si>
    <t>王勁翔</t>
  </si>
  <si>
    <t>邱婕沂</t>
  </si>
  <si>
    <t>吳沛恩</t>
  </si>
  <si>
    <t>陳梓瑄</t>
  </si>
  <si>
    <t>黃子維</t>
  </si>
  <si>
    <t>王品晴</t>
  </si>
  <si>
    <t>簡孜安</t>
  </si>
  <si>
    <t>許晏翎</t>
  </si>
  <si>
    <t>洪馨妍</t>
  </si>
  <si>
    <t>蔡曜陽</t>
  </si>
  <si>
    <t>黃仁希</t>
  </si>
  <si>
    <t>王彥棻</t>
  </si>
  <si>
    <t>張鈞凱</t>
  </si>
  <si>
    <t>曾建智</t>
  </si>
  <si>
    <t>鄧子誼</t>
  </si>
  <si>
    <t>張婕寧</t>
  </si>
  <si>
    <t>康芸菀</t>
  </si>
  <si>
    <t>閻祐葳</t>
  </si>
  <si>
    <t>張晴</t>
  </si>
  <si>
    <t>徐家軒</t>
  </si>
  <si>
    <t>陳皞霆</t>
  </si>
  <si>
    <t>胡瀞予</t>
  </si>
  <si>
    <t>鍾茲涵</t>
  </si>
  <si>
    <t>曹沛汝</t>
  </si>
  <si>
    <t>王于嘉</t>
  </si>
  <si>
    <t>林琦恩</t>
  </si>
  <si>
    <t>李汶芯</t>
  </si>
  <si>
    <t>曾芊樺</t>
  </si>
  <si>
    <t>方姵淇</t>
  </si>
  <si>
    <t>蔡旻珊</t>
  </si>
  <si>
    <t>呂恩昕</t>
  </si>
  <si>
    <t>吳昀霏</t>
  </si>
  <si>
    <t>張芯瑜</t>
  </si>
  <si>
    <t>陳妘溱</t>
  </si>
  <si>
    <t>林琮祐</t>
  </si>
  <si>
    <t>李家楷</t>
  </si>
  <si>
    <t>黃巧羽</t>
  </si>
  <si>
    <t>李沁芸</t>
  </si>
  <si>
    <t>褚家妍</t>
  </si>
  <si>
    <t>陳宥璇</t>
  </si>
  <si>
    <t>方翊宸</t>
  </si>
  <si>
    <t>林季廷</t>
  </si>
  <si>
    <t>吳芷歆</t>
  </si>
  <si>
    <t>陳佑瑄</t>
  </si>
  <si>
    <t>桑語娸</t>
  </si>
  <si>
    <t>賴映筑</t>
  </si>
  <si>
    <t>徐廷豪</t>
  </si>
  <si>
    <t>桑語婕</t>
  </si>
  <si>
    <t>楊智博</t>
  </si>
  <si>
    <t>周昆諒</t>
  </si>
  <si>
    <t>沙棠</t>
  </si>
  <si>
    <t>顏璟安</t>
  </si>
  <si>
    <t>孫梅恩</t>
  </si>
  <si>
    <t>蔡泳淇</t>
  </si>
  <si>
    <t>賴宬媞</t>
  </si>
  <si>
    <t>何忻蓉</t>
  </si>
  <si>
    <t>林佩吟</t>
  </si>
  <si>
    <t>侯定佑</t>
  </si>
  <si>
    <t>彭雋庭</t>
  </si>
  <si>
    <t>方楷淵</t>
  </si>
  <si>
    <t>張婉萍</t>
  </si>
  <si>
    <t>許恩婕</t>
  </si>
  <si>
    <t>廖心嵐</t>
  </si>
  <si>
    <t>江芊霈</t>
  </si>
  <si>
    <t>周子祐</t>
  </si>
  <si>
    <t>簡士傑</t>
  </si>
  <si>
    <t>廖毅宸</t>
  </si>
  <si>
    <t>黃家泫</t>
  </si>
  <si>
    <t>周俊安</t>
  </si>
  <si>
    <t>蕭鎮源</t>
  </si>
  <si>
    <t>陳祉妤</t>
  </si>
  <si>
    <t>鄭宏邦</t>
  </si>
  <si>
    <t>蔡尚廷</t>
  </si>
  <si>
    <t>徐芷妍</t>
  </si>
  <si>
    <t>游品嫣</t>
  </si>
  <si>
    <t>李昱瑩</t>
  </si>
  <si>
    <t>林辰曄</t>
  </si>
  <si>
    <t>賴宬彧</t>
  </si>
  <si>
    <t>邱品捷</t>
  </si>
  <si>
    <t>詹辰歆</t>
  </si>
  <si>
    <t>黃靖恬</t>
  </si>
  <si>
    <t>林尚儀</t>
  </si>
  <si>
    <t>吳家亨</t>
  </si>
  <si>
    <t>林雨蓉</t>
  </si>
  <si>
    <t>戴世修</t>
  </si>
  <si>
    <t>林莘澄</t>
  </si>
  <si>
    <t>孫語彤</t>
  </si>
  <si>
    <t>賴彥瑾</t>
  </si>
  <si>
    <t>李禹威</t>
  </si>
  <si>
    <t>周煥承</t>
  </si>
  <si>
    <t>林莘叡</t>
  </si>
  <si>
    <t>莊千霈</t>
  </si>
  <si>
    <t>蔡沛晴</t>
  </si>
  <si>
    <t>唐書平</t>
  </si>
  <si>
    <t>尹新崴</t>
  </si>
  <si>
    <t>葉欣怡</t>
  </si>
  <si>
    <t>馮品瑄</t>
  </si>
  <si>
    <t>鄒子惟</t>
  </si>
  <si>
    <t>黃妤芹</t>
  </si>
  <si>
    <t>尹山徽</t>
  </si>
  <si>
    <t>簡至羚</t>
  </si>
  <si>
    <t>李晉弘</t>
  </si>
  <si>
    <t>楊兆恩</t>
  </si>
  <si>
    <t>洪雅欣</t>
  </si>
  <si>
    <t>林芷彤</t>
  </si>
  <si>
    <t>劉品妤</t>
  </si>
  <si>
    <t>林晏佑</t>
  </si>
  <si>
    <t>盧珊瑩</t>
  </si>
  <si>
    <t>康亦青</t>
  </si>
  <si>
    <t>黃奕晴</t>
  </si>
  <si>
    <t>吳詠晴</t>
  </si>
  <si>
    <t>楊俊倫</t>
  </si>
  <si>
    <t>林品曦</t>
  </si>
  <si>
    <t>鄭亦紘</t>
  </si>
  <si>
    <t>吳雨蓉</t>
  </si>
  <si>
    <t>李若涵</t>
  </si>
  <si>
    <t>黃亭瑀</t>
  </si>
  <si>
    <t>高語濃</t>
  </si>
  <si>
    <t>陳亮佑</t>
  </si>
  <si>
    <t>李柏儒</t>
  </si>
  <si>
    <t>劉上齊</t>
  </si>
  <si>
    <t>胡又丹</t>
  </si>
  <si>
    <t>葉劉旂</t>
  </si>
  <si>
    <t>何巧樂</t>
  </si>
  <si>
    <t>陳雋沅</t>
  </si>
  <si>
    <t>周加恩</t>
  </si>
  <si>
    <t>周沛潔</t>
  </si>
  <si>
    <t>歐妍君</t>
  </si>
  <si>
    <t>江蓓萱</t>
  </si>
  <si>
    <t>劉玲妤</t>
  </si>
  <si>
    <t>林宣儀</t>
  </si>
  <si>
    <t>蔡傳德</t>
  </si>
  <si>
    <t>黃筱晴</t>
  </si>
  <si>
    <t>張淽涵</t>
  </si>
  <si>
    <t>黃芊錚</t>
  </si>
  <si>
    <t>宋心予</t>
  </si>
  <si>
    <t>蘇昱誠</t>
  </si>
  <si>
    <t>潘政安</t>
  </si>
  <si>
    <t>方絜稜</t>
  </si>
  <si>
    <t>林子榆</t>
  </si>
  <si>
    <t>張庭芝</t>
  </si>
  <si>
    <t>年級+班級</t>
  </si>
  <si>
    <t>學生姓名6</t>
  </si>
  <si>
    <t>學生姓名7</t>
  </si>
  <si>
    <t>學生姓名8</t>
  </si>
  <si>
    <t>學生姓名9</t>
  </si>
  <si>
    <t>一</t>
  </si>
  <si>
    <t>二</t>
  </si>
  <si>
    <t>姓名</t>
  </si>
  <si>
    <r>
      <t xml:space="preserve"> </t>
    </r>
    <r>
      <rPr>
        <sz val="10"/>
        <color theme="1"/>
        <rFont val="微軟正黑體"/>
        <family val="2"/>
        <charset val="136"/>
      </rPr>
      <t>歐睿綸</t>
    </r>
    <phoneticPr fontId="4" type="noConversion"/>
  </si>
  <si>
    <t>歐睿綸</t>
    <phoneticPr fontId="4" type="noConversion"/>
  </si>
  <si>
    <t>三</t>
    <phoneticPr fontId="4" type="noConversion"/>
  </si>
  <si>
    <t>四</t>
    <phoneticPr fontId="4" type="noConversion"/>
  </si>
  <si>
    <r>
      <t xml:space="preserve">                             </t>
    </r>
    <r>
      <rPr>
        <sz val="14"/>
        <color rgb="FF000000"/>
        <rFont val="微軟正黑體"/>
        <family val="2"/>
        <charset val="136"/>
      </rPr>
      <t>四年級頒獎名單</t>
    </r>
    <phoneticPr fontId="4" type="noConversion"/>
  </si>
  <si>
    <r>
      <t xml:space="preserve">                             </t>
    </r>
    <r>
      <rPr>
        <sz val="14"/>
        <color rgb="FF000000"/>
        <rFont val="微軟正黑體"/>
        <family val="2"/>
        <charset val="136"/>
      </rPr>
      <t>三年級頒獎名單</t>
    </r>
    <phoneticPr fontId="4" type="noConversion"/>
  </si>
  <si>
    <r>
      <t xml:space="preserve">                             </t>
    </r>
    <r>
      <rPr>
        <sz val="14"/>
        <color rgb="FF000000"/>
        <rFont val="微軟正黑體"/>
        <family val="2"/>
        <charset val="136"/>
      </rPr>
      <t>五年級頒獎名單</t>
    </r>
    <phoneticPr fontId="4" type="noConversion"/>
  </si>
  <si>
    <t>五</t>
    <phoneticPr fontId="4" type="noConversion"/>
  </si>
  <si>
    <t>六</t>
    <phoneticPr fontId="4" type="noConversion"/>
  </si>
  <si>
    <r>
      <t xml:space="preserve">                             </t>
    </r>
    <r>
      <rPr>
        <sz val="14"/>
        <color rgb="FF000000"/>
        <rFont val="微軟正黑體"/>
        <family val="2"/>
        <charset val="136"/>
      </rPr>
      <t>六年級頒獎名單</t>
    </r>
    <phoneticPr fontId="4" type="noConversion"/>
  </si>
  <si>
    <t>歐睿綸</t>
  </si>
  <si>
    <r>
      <rPr>
        <sz val="10"/>
        <color rgb="FF000000"/>
        <rFont val="微軟正黑體"/>
        <family val="2"/>
        <charset val="136"/>
      </rPr>
      <t>施安㚬</t>
    </r>
    <r>
      <rPr>
        <sz val="10"/>
        <color rgb="FF000000"/>
        <rFont val="Arial"/>
        <family val="2"/>
      </rPr>
      <t xml:space="preserve">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</si>
</sst>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sz val="9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4"/>
      <color rgb="FF000000"/>
      <name val="Arial"/>
      <family val="2"/>
    </font>
    <font>
      <sz val="14"/>
      <color rgb="FF000000"/>
      <name val="微軟正黑體"/>
      <family val="2"/>
      <charset val="136"/>
    </font>
    <font>
      <sz val="10"/>
      <color rgb="FF000000"/>
      <name val="Arial"/>
      <family val="2"/>
    </font>
    <font>
      <sz val="10"/>
      <color rgb="FF000000"/>
      <name val="Arial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176" fontId="1" fillId="0" borderId="0" xfId="0" applyNumberFormat="1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 applyAlignment="1"/>
    <xf numFmtId="0" fontId="1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FF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E638-7C49-4910-9575-573BC5A2B556}">
  <dimension ref="D4:R17"/>
  <sheetViews>
    <sheetView tabSelected="1" zoomScale="202" zoomScaleNormal="202" workbookViewId="0">
      <selection activeCell="T23" sqref="T23"/>
    </sheetView>
  </sheetViews>
  <sheetFormatPr defaultRowHeight="12.75" x14ac:dyDescent="0.2"/>
  <cols>
    <col min="4" max="5" width="3" customWidth="1"/>
    <col min="6" max="6" width="6.5703125" customWidth="1"/>
    <col min="7" max="7" width="2.85546875" customWidth="1"/>
    <col min="8" max="8" width="3" customWidth="1"/>
    <col min="9" max="9" width="6.5703125" customWidth="1"/>
    <col min="10" max="10" width="2.85546875" customWidth="1"/>
    <col min="11" max="11" width="3" customWidth="1"/>
    <col min="12" max="12" width="6.7109375" customWidth="1"/>
    <col min="13" max="14" width="3" customWidth="1"/>
    <col min="15" max="15" width="6.5703125" customWidth="1"/>
    <col min="16" max="17" width="3" customWidth="1"/>
    <col min="18" max="18" width="6.5703125" customWidth="1"/>
  </cols>
  <sheetData>
    <row r="4" spans="4:18" ht="18.75" x14ac:dyDescent="0.3">
      <c r="D4" s="14" t="s">
        <v>277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4:18" ht="13.5" x14ac:dyDescent="0.25">
      <c r="D5" s="11" t="s">
        <v>276</v>
      </c>
      <c r="E5" s="12">
        <v>1</v>
      </c>
      <c r="F5" s="9" t="s">
        <v>255</v>
      </c>
      <c r="G5" s="11" t="s">
        <v>276</v>
      </c>
      <c r="H5" s="12">
        <v>3</v>
      </c>
      <c r="I5" s="9" t="s">
        <v>158</v>
      </c>
      <c r="J5" s="11" t="s">
        <v>276</v>
      </c>
      <c r="K5" s="12">
        <v>5</v>
      </c>
      <c r="L5" s="9" t="s">
        <v>253</v>
      </c>
      <c r="M5" s="11" t="s">
        <v>276</v>
      </c>
      <c r="N5" s="12">
        <v>8</v>
      </c>
      <c r="O5" s="9" t="s">
        <v>57</v>
      </c>
      <c r="P5" s="11" t="s">
        <v>276</v>
      </c>
      <c r="Q5" s="13">
        <v>10</v>
      </c>
      <c r="R5" s="10" t="s">
        <v>176</v>
      </c>
    </row>
    <row r="6" spans="4:18" ht="13.5" x14ac:dyDescent="0.25">
      <c r="D6" s="11" t="s">
        <v>276</v>
      </c>
      <c r="E6" s="12">
        <v>1</v>
      </c>
      <c r="F6" s="9" t="s">
        <v>256</v>
      </c>
      <c r="G6" s="11" t="s">
        <v>276</v>
      </c>
      <c r="H6" s="12">
        <v>3</v>
      </c>
      <c r="I6" s="9" t="s">
        <v>159</v>
      </c>
      <c r="J6" s="11" t="s">
        <v>276</v>
      </c>
      <c r="K6" s="12">
        <v>5</v>
      </c>
      <c r="L6" s="9" t="s">
        <v>254</v>
      </c>
      <c r="M6" s="11" t="s">
        <v>276</v>
      </c>
      <c r="N6" s="12">
        <v>8</v>
      </c>
      <c r="O6" s="9" t="s">
        <v>58</v>
      </c>
      <c r="P6" s="11" t="s">
        <v>276</v>
      </c>
      <c r="Q6" s="13">
        <v>11</v>
      </c>
      <c r="R6" s="10" t="s">
        <v>187</v>
      </c>
    </row>
    <row r="7" spans="4:18" ht="13.5" x14ac:dyDescent="0.25">
      <c r="D7" s="11" t="s">
        <v>276</v>
      </c>
      <c r="E7" s="12">
        <v>1</v>
      </c>
      <c r="F7" s="9" t="s">
        <v>257</v>
      </c>
      <c r="G7" s="11" t="s">
        <v>276</v>
      </c>
      <c r="H7" s="12">
        <v>3</v>
      </c>
      <c r="I7" s="9" t="s">
        <v>160</v>
      </c>
      <c r="J7" s="11" t="s">
        <v>276</v>
      </c>
      <c r="K7" s="12">
        <v>6</v>
      </c>
      <c r="L7" s="9" t="s">
        <v>14</v>
      </c>
      <c r="M7" s="11" t="s">
        <v>276</v>
      </c>
      <c r="N7" s="12">
        <v>8</v>
      </c>
      <c r="O7" s="9" t="s">
        <v>59</v>
      </c>
      <c r="P7" s="11" t="s">
        <v>276</v>
      </c>
      <c r="Q7" s="13">
        <v>11</v>
      </c>
      <c r="R7" s="10" t="s">
        <v>188</v>
      </c>
    </row>
    <row r="8" spans="4:18" ht="13.5" x14ac:dyDescent="0.25">
      <c r="D8" s="11" t="s">
        <v>276</v>
      </c>
      <c r="E8" s="12">
        <v>1</v>
      </c>
      <c r="F8" s="9" t="s">
        <v>258</v>
      </c>
      <c r="G8" s="11" t="s">
        <v>276</v>
      </c>
      <c r="H8" s="12">
        <v>3</v>
      </c>
      <c r="I8" s="9" t="s">
        <v>278</v>
      </c>
      <c r="J8" s="11" t="s">
        <v>276</v>
      </c>
      <c r="K8" s="12">
        <v>6</v>
      </c>
      <c r="L8" s="9" t="s">
        <v>15</v>
      </c>
      <c r="M8" s="11" t="s">
        <v>276</v>
      </c>
      <c r="N8" s="12">
        <v>8</v>
      </c>
      <c r="O8" s="9" t="s">
        <v>60</v>
      </c>
      <c r="P8" s="11" t="s">
        <v>276</v>
      </c>
      <c r="Q8" s="13">
        <v>11</v>
      </c>
      <c r="R8" s="10" t="s">
        <v>189</v>
      </c>
    </row>
    <row r="9" spans="4:18" ht="13.5" x14ac:dyDescent="0.25">
      <c r="D9" s="11" t="s">
        <v>276</v>
      </c>
      <c r="E9" s="12">
        <v>1</v>
      </c>
      <c r="F9" s="9" t="s">
        <v>259</v>
      </c>
      <c r="G9" s="11" t="s">
        <v>276</v>
      </c>
      <c r="H9" s="12">
        <v>3</v>
      </c>
      <c r="I9" s="9" t="s">
        <v>161</v>
      </c>
      <c r="J9" s="11" t="s">
        <v>276</v>
      </c>
      <c r="K9" s="12">
        <v>6</v>
      </c>
      <c r="L9" s="9" t="s">
        <v>16</v>
      </c>
      <c r="M9" s="11" t="s">
        <v>276</v>
      </c>
      <c r="N9" s="12">
        <v>9</v>
      </c>
      <c r="O9" s="9" t="s">
        <v>182</v>
      </c>
      <c r="P9" s="11" t="s">
        <v>276</v>
      </c>
      <c r="Q9" s="13">
        <v>11</v>
      </c>
      <c r="R9" s="10" t="s">
        <v>190</v>
      </c>
    </row>
    <row r="10" spans="4:18" ht="13.5" x14ac:dyDescent="0.25">
      <c r="D10" s="11" t="s">
        <v>276</v>
      </c>
      <c r="E10" s="12">
        <v>2</v>
      </c>
      <c r="F10" s="9" t="s">
        <v>89</v>
      </c>
      <c r="G10" s="11" t="s">
        <v>276</v>
      </c>
      <c r="H10" s="12">
        <v>4</v>
      </c>
      <c r="I10" s="9" t="s">
        <v>133</v>
      </c>
      <c r="J10" s="11" t="s">
        <v>276</v>
      </c>
      <c r="K10" s="12">
        <v>6</v>
      </c>
      <c r="L10" s="9" t="s">
        <v>17</v>
      </c>
      <c r="M10" s="11" t="s">
        <v>276</v>
      </c>
      <c r="N10" s="12">
        <v>9</v>
      </c>
      <c r="O10" s="9" t="s">
        <v>183</v>
      </c>
      <c r="P10" s="11" t="s">
        <v>276</v>
      </c>
      <c r="Q10" s="13">
        <v>11</v>
      </c>
      <c r="R10" s="10" t="s">
        <v>191</v>
      </c>
    </row>
    <row r="11" spans="4:18" ht="13.5" x14ac:dyDescent="0.25">
      <c r="D11" s="11" t="s">
        <v>276</v>
      </c>
      <c r="E11" s="12">
        <v>2</v>
      </c>
      <c r="F11" s="9" t="s">
        <v>90</v>
      </c>
      <c r="G11" s="11" t="s">
        <v>276</v>
      </c>
      <c r="H11" s="12">
        <v>4</v>
      </c>
      <c r="I11" s="9" t="s">
        <v>134</v>
      </c>
      <c r="J11" s="11" t="s">
        <v>276</v>
      </c>
      <c r="K11" s="12">
        <v>6</v>
      </c>
      <c r="L11" s="9" t="s">
        <v>18</v>
      </c>
      <c r="M11" s="11" t="s">
        <v>276</v>
      </c>
      <c r="N11" s="12">
        <v>9</v>
      </c>
      <c r="O11" s="9" t="s">
        <v>184</v>
      </c>
      <c r="P11" s="11" t="s">
        <v>276</v>
      </c>
      <c r="Q11" s="13">
        <v>12</v>
      </c>
      <c r="R11" s="10" t="s">
        <v>220</v>
      </c>
    </row>
    <row r="12" spans="4:18" ht="13.5" x14ac:dyDescent="0.25">
      <c r="D12" s="11" t="s">
        <v>276</v>
      </c>
      <c r="E12" s="12">
        <v>2</v>
      </c>
      <c r="F12" s="9" t="s">
        <v>91</v>
      </c>
      <c r="G12" s="11" t="s">
        <v>276</v>
      </c>
      <c r="H12" s="12">
        <v>4</v>
      </c>
      <c r="I12" s="9" t="s">
        <v>135</v>
      </c>
      <c r="J12" s="11" t="s">
        <v>276</v>
      </c>
      <c r="K12" s="12">
        <v>7</v>
      </c>
      <c r="L12" s="9" t="s">
        <v>9</v>
      </c>
      <c r="M12" s="11" t="s">
        <v>276</v>
      </c>
      <c r="N12" s="12">
        <v>9</v>
      </c>
      <c r="O12" s="9" t="s">
        <v>185</v>
      </c>
      <c r="P12" s="11" t="s">
        <v>276</v>
      </c>
      <c r="Q12" s="13">
        <v>12</v>
      </c>
      <c r="R12" s="10" t="s">
        <v>221</v>
      </c>
    </row>
    <row r="13" spans="4:18" ht="13.5" x14ac:dyDescent="0.25">
      <c r="D13" s="11" t="s">
        <v>276</v>
      </c>
      <c r="E13" s="12">
        <v>2</v>
      </c>
      <c r="F13" s="9" t="s">
        <v>92</v>
      </c>
      <c r="G13" s="11" t="s">
        <v>276</v>
      </c>
      <c r="H13" s="12">
        <v>4</v>
      </c>
      <c r="I13" s="9" t="s">
        <v>136</v>
      </c>
      <c r="J13" s="11" t="s">
        <v>276</v>
      </c>
      <c r="K13" s="12">
        <v>7</v>
      </c>
      <c r="L13" s="9" t="s">
        <v>10</v>
      </c>
      <c r="M13" s="11" t="s">
        <v>276</v>
      </c>
      <c r="N13" s="12">
        <v>9</v>
      </c>
      <c r="O13" s="9" t="s">
        <v>186</v>
      </c>
      <c r="P13" s="11" t="s">
        <v>276</v>
      </c>
      <c r="Q13" s="13">
        <v>12</v>
      </c>
      <c r="R13" s="10" t="s">
        <v>222</v>
      </c>
    </row>
    <row r="14" spans="4:18" ht="13.5" x14ac:dyDescent="0.25">
      <c r="D14" s="11" t="s">
        <v>276</v>
      </c>
      <c r="E14" s="12">
        <v>2</v>
      </c>
      <c r="F14" s="17" t="s">
        <v>279</v>
      </c>
      <c r="G14" s="11" t="s">
        <v>276</v>
      </c>
      <c r="H14" s="12">
        <v>4</v>
      </c>
      <c r="I14" s="9" t="s">
        <v>137</v>
      </c>
      <c r="J14" s="11" t="s">
        <v>276</v>
      </c>
      <c r="K14" s="12">
        <v>7</v>
      </c>
      <c r="L14" s="9" t="s">
        <v>11</v>
      </c>
      <c r="M14" s="11" t="s">
        <v>276</v>
      </c>
      <c r="N14" s="12">
        <v>10</v>
      </c>
      <c r="O14" s="9" t="s">
        <v>172</v>
      </c>
      <c r="P14" s="11" t="s">
        <v>276</v>
      </c>
      <c r="Q14" s="13">
        <v>12</v>
      </c>
      <c r="R14" s="10" t="s">
        <v>223</v>
      </c>
    </row>
    <row r="15" spans="4:18" ht="13.5" x14ac:dyDescent="0.25">
      <c r="D15" s="11" t="s">
        <v>276</v>
      </c>
      <c r="E15" s="12">
        <v>3</v>
      </c>
      <c r="F15" s="9" t="s">
        <v>155</v>
      </c>
      <c r="G15" s="11" t="s">
        <v>276</v>
      </c>
      <c r="H15" s="12">
        <v>5</v>
      </c>
      <c r="I15" s="9" t="s">
        <v>250</v>
      </c>
      <c r="J15" s="11" t="s">
        <v>276</v>
      </c>
      <c r="K15" s="12">
        <v>7</v>
      </c>
      <c r="L15" s="9" t="s">
        <v>12</v>
      </c>
      <c r="M15" s="11" t="s">
        <v>276</v>
      </c>
      <c r="N15" s="12">
        <v>10</v>
      </c>
      <c r="O15" s="9" t="s">
        <v>173</v>
      </c>
      <c r="P15" s="11" t="s">
        <v>276</v>
      </c>
      <c r="Q15" s="13">
        <v>12</v>
      </c>
      <c r="R15" s="10" t="s">
        <v>224</v>
      </c>
    </row>
    <row r="16" spans="4:18" ht="13.5" x14ac:dyDescent="0.25">
      <c r="D16" s="11" t="s">
        <v>276</v>
      </c>
      <c r="E16" s="12">
        <v>3</v>
      </c>
      <c r="F16" s="9" t="s">
        <v>156</v>
      </c>
      <c r="G16" s="11" t="s">
        <v>276</v>
      </c>
      <c r="H16" s="12">
        <v>5</v>
      </c>
      <c r="I16" s="9" t="s">
        <v>251</v>
      </c>
      <c r="J16" s="11" t="s">
        <v>276</v>
      </c>
      <c r="K16" s="12">
        <v>7</v>
      </c>
      <c r="L16" s="9" t="s">
        <v>13</v>
      </c>
      <c r="M16" s="11" t="s">
        <v>276</v>
      </c>
      <c r="N16" s="12">
        <v>10</v>
      </c>
      <c r="O16" s="9" t="s">
        <v>174</v>
      </c>
      <c r="P16" s="11"/>
      <c r="Q16" s="13"/>
      <c r="R16" s="10"/>
    </row>
    <row r="17" spans="4:18" ht="13.5" x14ac:dyDescent="0.25">
      <c r="D17" s="11" t="s">
        <v>276</v>
      </c>
      <c r="E17" s="12">
        <v>3</v>
      </c>
      <c r="F17" s="9" t="s">
        <v>157</v>
      </c>
      <c r="G17" s="11" t="s">
        <v>276</v>
      </c>
      <c r="H17" s="12">
        <v>5</v>
      </c>
      <c r="I17" s="9" t="s">
        <v>252</v>
      </c>
      <c r="J17" s="11" t="s">
        <v>276</v>
      </c>
      <c r="K17" s="12">
        <v>8</v>
      </c>
      <c r="L17" s="9" t="s">
        <v>56</v>
      </c>
      <c r="M17" s="11" t="s">
        <v>276</v>
      </c>
      <c r="N17" s="12">
        <v>10</v>
      </c>
      <c r="O17" s="9" t="s">
        <v>175</v>
      </c>
      <c r="P17" s="11"/>
      <c r="Q17" s="13"/>
      <c r="R17" s="1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735C-059B-437C-8435-7BAA9CC6B44B}">
  <dimension ref="D4:R17"/>
  <sheetViews>
    <sheetView workbookViewId="0">
      <selection activeCell="W9" sqref="W9"/>
    </sheetView>
  </sheetViews>
  <sheetFormatPr defaultRowHeight="12.75" x14ac:dyDescent="0.2"/>
  <cols>
    <col min="4" max="5" width="3" customWidth="1"/>
    <col min="6" max="6" width="6.5703125" customWidth="1"/>
    <col min="7" max="7" width="2.85546875" customWidth="1"/>
    <col min="8" max="8" width="3" customWidth="1"/>
    <col min="9" max="9" width="6.5703125" customWidth="1"/>
    <col min="10" max="10" width="2.85546875" customWidth="1"/>
    <col min="11" max="11" width="3" customWidth="1"/>
    <col min="12" max="12" width="6.7109375" customWidth="1"/>
    <col min="13" max="14" width="3" customWidth="1"/>
    <col min="15" max="15" width="6.5703125" customWidth="1"/>
    <col min="16" max="17" width="3" customWidth="1"/>
    <col min="18" max="18" width="6.5703125" customWidth="1"/>
  </cols>
  <sheetData>
    <row r="4" spans="4:18" ht="18.75" x14ac:dyDescent="0.3">
      <c r="D4" s="14" t="s">
        <v>274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4:18" ht="13.5" x14ac:dyDescent="0.25">
      <c r="D5" s="11" t="s">
        <v>275</v>
      </c>
      <c r="E5" s="12">
        <v>1</v>
      </c>
      <c r="F5" s="9" t="s">
        <v>177</v>
      </c>
      <c r="G5" s="11" t="s">
        <v>275</v>
      </c>
      <c r="H5" s="12">
        <v>3</v>
      </c>
      <c r="I5" s="9" t="s">
        <v>243</v>
      </c>
      <c r="J5" s="11" t="s">
        <v>275</v>
      </c>
      <c r="K5" s="12">
        <v>6</v>
      </c>
      <c r="L5" s="9" t="s">
        <v>139</v>
      </c>
      <c r="M5" s="11" t="s">
        <v>275</v>
      </c>
      <c r="N5" s="12">
        <v>8</v>
      </c>
      <c r="O5" s="9" t="s">
        <v>121</v>
      </c>
      <c r="P5" s="11" t="s">
        <v>275</v>
      </c>
      <c r="Q5" s="13">
        <v>10</v>
      </c>
      <c r="R5" s="10" t="s">
        <v>148</v>
      </c>
    </row>
    <row r="6" spans="4:18" ht="13.5" x14ac:dyDescent="0.25">
      <c r="D6" s="11" t="s">
        <v>275</v>
      </c>
      <c r="E6" s="12">
        <v>1</v>
      </c>
      <c r="F6" s="9" t="s">
        <v>178</v>
      </c>
      <c r="G6" s="11" t="s">
        <v>275</v>
      </c>
      <c r="H6" s="12">
        <v>3</v>
      </c>
      <c r="I6" s="9" t="s">
        <v>244</v>
      </c>
      <c r="J6" s="11" t="s">
        <v>275</v>
      </c>
      <c r="K6" s="12">
        <v>6</v>
      </c>
      <c r="L6" s="9" t="s">
        <v>140</v>
      </c>
      <c r="M6" s="11" t="s">
        <v>275</v>
      </c>
      <c r="N6" s="12">
        <v>8</v>
      </c>
      <c r="O6" s="9" t="s">
        <v>122</v>
      </c>
      <c r="P6" s="11" t="s">
        <v>275</v>
      </c>
      <c r="Q6" s="13">
        <v>10</v>
      </c>
      <c r="R6" s="10" t="s">
        <v>149</v>
      </c>
    </row>
    <row r="7" spans="4:18" ht="13.5" x14ac:dyDescent="0.25">
      <c r="D7" s="11" t="s">
        <v>275</v>
      </c>
      <c r="E7" s="12">
        <v>1</v>
      </c>
      <c r="F7" s="9" t="s">
        <v>179</v>
      </c>
      <c r="G7" s="11" t="s">
        <v>275</v>
      </c>
      <c r="H7" s="12">
        <v>4</v>
      </c>
      <c r="I7" s="9" t="s">
        <v>99</v>
      </c>
      <c r="J7" s="11" t="s">
        <v>275</v>
      </c>
      <c r="K7" s="12">
        <v>6</v>
      </c>
      <c r="L7" s="9" t="s">
        <v>141</v>
      </c>
      <c r="M7" s="11" t="s">
        <v>275</v>
      </c>
      <c r="N7" s="12">
        <v>9</v>
      </c>
      <c r="O7" s="9" t="s">
        <v>197</v>
      </c>
      <c r="P7" s="11" t="s">
        <v>275</v>
      </c>
      <c r="Q7" s="13">
        <v>11</v>
      </c>
      <c r="R7" s="10" t="s">
        <v>245</v>
      </c>
    </row>
    <row r="8" spans="4:18" ht="13.5" x14ac:dyDescent="0.25">
      <c r="D8" s="11" t="s">
        <v>275</v>
      </c>
      <c r="E8" s="12">
        <v>1</v>
      </c>
      <c r="F8" s="9" t="s">
        <v>180</v>
      </c>
      <c r="G8" s="11" t="s">
        <v>275</v>
      </c>
      <c r="H8" s="12">
        <v>4</v>
      </c>
      <c r="I8" s="9" t="s">
        <v>100</v>
      </c>
      <c r="J8" s="11" t="s">
        <v>275</v>
      </c>
      <c r="K8" s="12">
        <v>6</v>
      </c>
      <c r="L8" s="9" t="s">
        <v>142</v>
      </c>
      <c r="M8" s="11" t="s">
        <v>275</v>
      </c>
      <c r="N8" s="12">
        <v>9</v>
      </c>
      <c r="O8" s="9" t="s">
        <v>198</v>
      </c>
      <c r="P8" s="11" t="s">
        <v>275</v>
      </c>
      <c r="Q8" s="13">
        <v>11</v>
      </c>
      <c r="R8" s="10" t="s">
        <v>246</v>
      </c>
    </row>
    <row r="9" spans="4:18" ht="13.5" x14ac:dyDescent="0.25">
      <c r="D9" s="11" t="s">
        <v>275</v>
      </c>
      <c r="E9" s="12">
        <v>1</v>
      </c>
      <c r="F9" s="9" t="s">
        <v>181</v>
      </c>
      <c r="G9" s="11" t="s">
        <v>275</v>
      </c>
      <c r="H9" s="12">
        <v>4</v>
      </c>
      <c r="I9" s="9" t="s">
        <v>101</v>
      </c>
      <c r="J9" s="11" t="s">
        <v>275</v>
      </c>
      <c r="K9" s="12">
        <v>6</v>
      </c>
      <c r="L9" s="9" t="s">
        <v>143</v>
      </c>
      <c r="M9" s="11" t="s">
        <v>275</v>
      </c>
      <c r="N9" s="12">
        <v>9</v>
      </c>
      <c r="O9" s="9" t="s">
        <v>199</v>
      </c>
      <c r="P9" s="11" t="s">
        <v>275</v>
      </c>
      <c r="Q9" s="13">
        <v>11</v>
      </c>
      <c r="R9" s="10" t="s">
        <v>247</v>
      </c>
    </row>
    <row r="10" spans="4:18" ht="13.5" x14ac:dyDescent="0.25">
      <c r="D10" s="11" t="s">
        <v>275</v>
      </c>
      <c r="E10" s="12">
        <v>2</v>
      </c>
      <c r="F10" s="9" t="s">
        <v>162</v>
      </c>
      <c r="G10" s="11" t="s">
        <v>275</v>
      </c>
      <c r="H10" s="12">
        <v>4</v>
      </c>
      <c r="I10" s="9" t="s">
        <v>102</v>
      </c>
      <c r="J10" s="11" t="s">
        <v>275</v>
      </c>
      <c r="K10" s="12">
        <v>7</v>
      </c>
      <c r="L10" s="9" t="s">
        <v>79</v>
      </c>
      <c r="M10" s="11" t="s">
        <v>275</v>
      </c>
      <c r="N10" s="12">
        <v>9</v>
      </c>
      <c r="O10" s="9" t="s">
        <v>200</v>
      </c>
      <c r="P10" s="11" t="s">
        <v>275</v>
      </c>
      <c r="Q10" s="13">
        <v>11</v>
      </c>
      <c r="R10" s="10" t="s">
        <v>248</v>
      </c>
    </row>
    <row r="11" spans="4:18" ht="13.5" x14ac:dyDescent="0.25">
      <c r="D11" s="11" t="s">
        <v>275</v>
      </c>
      <c r="E11" s="12">
        <v>2</v>
      </c>
      <c r="F11" s="9" t="s">
        <v>163</v>
      </c>
      <c r="G11" s="11" t="s">
        <v>275</v>
      </c>
      <c r="H11" s="12">
        <v>4</v>
      </c>
      <c r="I11" s="9" t="s">
        <v>103</v>
      </c>
      <c r="J11" s="11" t="s">
        <v>275</v>
      </c>
      <c r="K11" s="12">
        <v>7</v>
      </c>
      <c r="L11" s="9" t="s">
        <v>80</v>
      </c>
      <c r="M11" s="11" t="s">
        <v>275</v>
      </c>
      <c r="N11" s="12">
        <v>9</v>
      </c>
      <c r="O11" s="9" t="s">
        <v>201</v>
      </c>
      <c r="P11" s="11" t="s">
        <v>275</v>
      </c>
      <c r="Q11" s="13">
        <v>11</v>
      </c>
      <c r="R11" s="10" t="s">
        <v>249</v>
      </c>
    </row>
    <row r="12" spans="4:18" ht="13.5" x14ac:dyDescent="0.25">
      <c r="D12" s="11" t="s">
        <v>275</v>
      </c>
      <c r="E12" s="12">
        <v>2</v>
      </c>
      <c r="F12" s="9" t="s">
        <v>164</v>
      </c>
      <c r="G12" s="11" t="s">
        <v>275</v>
      </c>
      <c r="H12" s="12">
        <v>5</v>
      </c>
      <c r="I12" s="9" t="s">
        <v>74</v>
      </c>
      <c r="J12" s="11" t="s">
        <v>275</v>
      </c>
      <c r="K12" s="12">
        <v>7</v>
      </c>
      <c r="L12" s="9" t="s">
        <v>81</v>
      </c>
      <c r="M12" s="11" t="s">
        <v>275</v>
      </c>
      <c r="N12" s="12">
        <v>9</v>
      </c>
      <c r="O12" s="9" t="s">
        <v>202</v>
      </c>
      <c r="P12" s="11"/>
      <c r="Q12" s="13"/>
      <c r="R12" s="10"/>
    </row>
    <row r="13" spans="4:18" ht="13.5" x14ac:dyDescent="0.25">
      <c r="D13" s="11" t="s">
        <v>275</v>
      </c>
      <c r="E13" s="12">
        <v>2</v>
      </c>
      <c r="F13" s="9" t="s">
        <v>165</v>
      </c>
      <c r="G13" s="11" t="s">
        <v>275</v>
      </c>
      <c r="H13" s="12">
        <v>5</v>
      </c>
      <c r="I13" s="9" t="s">
        <v>75</v>
      </c>
      <c r="J13" s="11" t="s">
        <v>275</v>
      </c>
      <c r="K13" s="12">
        <v>7</v>
      </c>
      <c r="L13" s="9" t="s">
        <v>82</v>
      </c>
      <c r="M13" s="11" t="s">
        <v>275</v>
      </c>
      <c r="N13" s="12">
        <v>9</v>
      </c>
      <c r="O13" s="9" t="s">
        <v>203</v>
      </c>
      <c r="P13" s="11"/>
      <c r="Q13" s="13"/>
      <c r="R13" s="10"/>
    </row>
    <row r="14" spans="4:18" ht="13.5" x14ac:dyDescent="0.25">
      <c r="D14" s="11" t="s">
        <v>275</v>
      </c>
      <c r="E14" s="12">
        <v>2</v>
      </c>
      <c r="F14" s="9" t="s">
        <v>166</v>
      </c>
      <c r="G14" s="11" t="s">
        <v>275</v>
      </c>
      <c r="H14" s="12">
        <v>5</v>
      </c>
      <c r="I14" s="9" t="s">
        <v>76</v>
      </c>
      <c r="J14" s="11" t="s">
        <v>275</v>
      </c>
      <c r="K14" s="12">
        <v>7</v>
      </c>
      <c r="L14" s="9" t="s">
        <v>83</v>
      </c>
      <c r="M14" s="11" t="s">
        <v>275</v>
      </c>
      <c r="N14" s="12">
        <v>10</v>
      </c>
      <c r="O14" s="9" t="s">
        <v>144</v>
      </c>
      <c r="P14" s="11"/>
      <c r="Q14" s="13"/>
      <c r="R14" s="10"/>
    </row>
    <row r="15" spans="4:18" ht="13.5" x14ac:dyDescent="0.25">
      <c r="D15" s="11" t="s">
        <v>275</v>
      </c>
      <c r="E15" s="12">
        <v>3</v>
      </c>
      <c r="F15" s="9" t="s">
        <v>240</v>
      </c>
      <c r="G15" s="11" t="s">
        <v>275</v>
      </c>
      <c r="H15" s="12">
        <v>5</v>
      </c>
      <c r="I15" s="9" t="s">
        <v>77</v>
      </c>
      <c r="J15" s="11" t="s">
        <v>275</v>
      </c>
      <c r="K15" s="12">
        <v>8</v>
      </c>
      <c r="L15" s="9" t="s">
        <v>118</v>
      </c>
      <c r="M15" s="11" t="s">
        <v>275</v>
      </c>
      <c r="N15" s="12">
        <v>10</v>
      </c>
      <c r="O15" s="9" t="s">
        <v>145</v>
      </c>
      <c r="P15" s="11"/>
      <c r="Q15" s="13"/>
      <c r="R15" s="10"/>
    </row>
    <row r="16" spans="4:18" ht="13.5" x14ac:dyDescent="0.25">
      <c r="D16" s="11" t="s">
        <v>275</v>
      </c>
      <c r="E16" s="12">
        <v>3</v>
      </c>
      <c r="F16" s="9" t="s">
        <v>241</v>
      </c>
      <c r="G16" s="11" t="s">
        <v>275</v>
      </c>
      <c r="H16" s="12">
        <v>5</v>
      </c>
      <c r="I16" s="9" t="s">
        <v>78</v>
      </c>
      <c r="J16" s="11" t="s">
        <v>275</v>
      </c>
      <c r="K16" s="12">
        <v>8</v>
      </c>
      <c r="L16" s="9" t="s">
        <v>119</v>
      </c>
      <c r="M16" s="11" t="s">
        <v>275</v>
      </c>
      <c r="N16" s="12">
        <v>10</v>
      </c>
      <c r="O16" s="9" t="s">
        <v>146</v>
      </c>
      <c r="P16" s="11"/>
      <c r="Q16" s="13"/>
      <c r="R16" s="10"/>
    </row>
    <row r="17" spans="4:18" ht="13.5" x14ac:dyDescent="0.25">
      <c r="D17" s="11" t="s">
        <v>275</v>
      </c>
      <c r="E17" s="12">
        <v>3</v>
      </c>
      <c r="F17" s="9" t="s">
        <v>242</v>
      </c>
      <c r="G17" s="11" t="s">
        <v>275</v>
      </c>
      <c r="H17" s="12">
        <v>6</v>
      </c>
      <c r="I17" s="9" t="s">
        <v>138</v>
      </c>
      <c r="J17" s="11" t="s">
        <v>275</v>
      </c>
      <c r="K17" s="12">
        <v>8</v>
      </c>
      <c r="L17" s="9" t="s">
        <v>120</v>
      </c>
      <c r="M17" s="11" t="s">
        <v>275</v>
      </c>
      <c r="N17" s="12">
        <v>10</v>
      </c>
      <c r="O17" s="9" t="s">
        <v>147</v>
      </c>
      <c r="P17" s="11"/>
      <c r="Q17" s="13"/>
      <c r="R17" s="10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63A6-60B0-45DA-966C-E55FC862CA2F}">
  <dimension ref="D4:R17"/>
  <sheetViews>
    <sheetView workbookViewId="0">
      <selection activeCell="X21" sqref="X21"/>
    </sheetView>
  </sheetViews>
  <sheetFormatPr defaultRowHeight="12.75" x14ac:dyDescent="0.2"/>
  <cols>
    <col min="4" max="5" width="3" customWidth="1"/>
    <col min="6" max="6" width="6.5703125" customWidth="1"/>
    <col min="7" max="7" width="2.85546875" customWidth="1"/>
    <col min="8" max="8" width="3" customWidth="1"/>
    <col min="9" max="9" width="6.5703125" customWidth="1"/>
    <col min="10" max="10" width="2.85546875" customWidth="1"/>
    <col min="11" max="11" width="3" customWidth="1"/>
    <col min="12" max="12" width="6.7109375" customWidth="1"/>
    <col min="13" max="14" width="3" customWidth="1"/>
    <col min="15" max="15" width="6.5703125" customWidth="1"/>
    <col min="16" max="17" width="3" customWidth="1"/>
    <col min="18" max="18" width="6.5703125" customWidth="1"/>
  </cols>
  <sheetData>
    <row r="4" spans="4:18" ht="18.75" x14ac:dyDescent="0.3">
      <c r="D4" s="14" t="s">
        <v>272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4:18" ht="13.5" x14ac:dyDescent="0.25">
      <c r="D5" s="11" t="s">
        <v>271</v>
      </c>
      <c r="E5" s="12">
        <v>1</v>
      </c>
      <c r="F5" s="9" t="s">
        <v>104</v>
      </c>
      <c r="G5" s="11" t="s">
        <v>271</v>
      </c>
      <c r="H5" s="12">
        <v>3</v>
      </c>
      <c r="I5" s="9" t="s">
        <v>36</v>
      </c>
      <c r="J5" s="11" t="s">
        <v>271</v>
      </c>
      <c r="K5" s="12">
        <v>5</v>
      </c>
      <c r="L5" s="9" t="s">
        <v>207</v>
      </c>
      <c r="M5" s="11" t="s">
        <v>271</v>
      </c>
      <c r="N5" s="12">
        <v>7</v>
      </c>
      <c r="O5" s="9" t="s">
        <v>66</v>
      </c>
      <c r="P5" s="11" t="s">
        <v>271</v>
      </c>
      <c r="Q5" s="13">
        <v>10</v>
      </c>
      <c r="R5" s="10" t="s">
        <v>216</v>
      </c>
    </row>
    <row r="6" spans="4:18" ht="13.5" x14ac:dyDescent="0.25">
      <c r="D6" s="11" t="s">
        <v>271</v>
      </c>
      <c r="E6" s="12">
        <v>1</v>
      </c>
      <c r="F6" s="9" t="s">
        <v>105</v>
      </c>
      <c r="G6" s="11" t="s">
        <v>271</v>
      </c>
      <c r="H6" s="12">
        <v>3</v>
      </c>
      <c r="I6" s="9" t="s">
        <v>37</v>
      </c>
      <c r="J6" s="11" t="s">
        <v>271</v>
      </c>
      <c r="K6" s="12">
        <v>5</v>
      </c>
      <c r="L6" s="9" t="s">
        <v>208</v>
      </c>
      <c r="M6" s="11" t="s">
        <v>271</v>
      </c>
      <c r="N6" s="12">
        <v>7</v>
      </c>
      <c r="O6" s="9" t="s">
        <v>67</v>
      </c>
      <c r="P6" s="11" t="s">
        <v>271</v>
      </c>
      <c r="Q6" s="13">
        <v>10</v>
      </c>
      <c r="R6" s="10" t="s">
        <v>217</v>
      </c>
    </row>
    <row r="7" spans="4:18" ht="13.5" x14ac:dyDescent="0.25">
      <c r="D7" s="11" t="s">
        <v>271</v>
      </c>
      <c r="E7" s="12">
        <v>1</v>
      </c>
      <c r="F7" s="9" t="s">
        <v>106</v>
      </c>
      <c r="G7" s="11" t="s">
        <v>271</v>
      </c>
      <c r="H7" s="12">
        <v>3</v>
      </c>
      <c r="I7" s="9" t="s">
        <v>38</v>
      </c>
      <c r="J7" s="11" t="s">
        <v>271</v>
      </c>
      <c r="K7" s="12">
        <v>5</v>
      </c>
      <c r="L7" s="9" t="s">
        <v>209</v>
      </c>
      <c r="M7" s="11" t="s">
        <v>271</v>
      </c>
      <c r="N7" s="12">
        <v>8</v>
      </c>
      <c r="O7" s="9" t="s">
        <v>235</v>
      </c>
      <c r="P7" s="11" t="s">
        <v>271</v>
      </c>
      <c r="Q7" s="13">
        <v>10</v>
      </c>
      <c r="R7" s="10" t="s">
        <v>218</v>
      </c>
    </row>
    <row r="8" spans="4:18" ht="13.5" x14ac:dyDescent="0.25">
      <c r="D8" s="11" t="s">
        <v>271</v>
      </c>
      <c r="E8" s="12">
        <v>1</v>
      </c>
      <c r="F8" s="9" t="s">
        <v>107</v>
      </c>
      <c r="G8" s="11" t="s">
        <v>271</v>
      </c>
      <c r="H8" s="12">
        <v>3</v>
      </c>
      <c r="I8" s="9" t="s">
        <v>39</v>
      </c>
      <c r="J8" s="11" t="s">
        <v>271</v>
      </c>
      <c r="K8" s="12">
        <v>6</v>
      </c>
      <c r="L8" s="9" t="s">
        <v>68</v>
      </c>
      <c r="M8" s="11" t="s">
        <v>271</v>
      </c>
      <c r="N8" s="12">
        <v>8</v>
      </c>
      <c r="O8" s="9" t="s">
        <v>236</v>
      </c>
      <c r="P8" s="11" t="s">
        <v>271</v>
      </c>
      <c r="Q8" s="13">
        <v>10</v>
      </c>
      <c r="R8" s="10" t="s">
        <v>219</v>
      </c>
    </row>
    <row r="9" spans="4:18" ht="13.5" x14ac:dyDescent="0.25">
      <c r="D9" s="11" t="s">
        <v>271</v>
      </c>
      <c r="E9" s="12">
        <v>1</v>
      </c>
      <c r="F9" s="9" t="s">
        <v>108</v>
      </c>
      <c r="G9" s="11" t="s">
        <v>271</v>
      </c>
      <c r="H9" s="12">
        <v>3</v>
      </c>
      <c r="I9" s="9" t="s">
        <v>40</v>
      </c>
      <c r="J9" s="11" t="s">
        <v>271</v>
      </c>
      <c r="K9" s="12">
        <v>6</v>
      </c>
      <c r="L9" s="9" t="s">
        <v>69</v>
      </c>
      <c r="M9" s="11" t="s">
        <v>271</v>
      </c>
      <c r="N9" s="12">
        <v>8</v>
      </c>
      <c r="O9" s="9" t="s">
        <v>237</v>
      </c>
      <c r="P9" s="11" t="s">
        <v>271</v>
      </c>
      <c r="Q9" s="13">
        <v>11</v>
      </c>
      <c r="R9" s="10" t="s">
        <v>94</v>
      </c>
    </row>
    <row r="10" spans="4:18" ht="13.5" x14ac:dyDescent="0.25">
      <c r="D10" s="11" t="s">
        <v>271</v>
      </c>
      <c r="E10" s="12">
        <v>1</v>
      </c>
      <c r="F10" s="9" t="s">
        <v>110</v>
      </c>
      <c r="G10" s="11" t="s">
        <v>271</v>
      </c>
      <c r="H10" s="12">
        <v>4</v>
      </c>
      <c r="I10" s="9" t="s">
        <v>128</v>
      </c>
      <c r="J10" s="11" t="s">
        <v>271</v>
      </c>
      <c r="K10" s="12">
        <v>6</v>
      </c>
      <c r="L10" s="9" t="s">
        <v>70</v>
      </c>
      <c r="M10" s="11" t="s">
        <v>271</v>
      </c>
      <c r="N10" s="12">
        <v>8</v>
      </c>
      <c r="O10" s="9" t="s">
        <v>238</v>
      </c>
      <c r="P10" s="11" t="s">
        <v>271</v>
      </c>
      <c r="Q10" s="13">
        <v>11</v>
      </c>
      <c r="R10" s="10" t="s">
        <v>95</v>
      </c>
    </row>
    <row r="11" spans="4:18" ht="13.5" x14ac:dyDescent="0.25">
      <c r="D11" s="11" t="s">
        <v>271</v>
      </c>
      <c r="E11" s="12">
        <v>1</v>
      </c>
      <c r="F11" s="9" t="s">
        <v>111</v>
      </c>
      <c r="G11" s="11" t="s">
        <v>271</v>
      </c>
      <c r="H11" s="12">
        <v>4</v>
      </c>
      <c r="I11" s="9" t="s">
        <v>129</v>
      </c>
      <c r="J11" s="11" t="s">
        <v>271</v>
      </c>
      <c r="K11" s="12">
        <v>6</v>
      </c>
      <c r="L11" s="9" t="s">
        <v>71</v>
      </c>
      <c r="M11" s="11" t="s">
        <v>271</v>
      </c>
      <c r="N11" s="12">
        <v>8</v>
      </c>
      <c r="O11" s="9" t="s">
        <v>239</v>
      </c>
      <c r="P11" s="11" t="s">
        <v>271</v>
      </c>
      <c r="Q11" s="13">
        <v>11</v>
      </c>
      <c r="R11" s="10" t="s">
        <v>96</v>
      </c>
    </row>
    <row r="12" spans="4:18" ht="13.5" x14ac:dyDescent="0.25">
      <c r="D12" s="11" t="s">
        <v>271</v>
      </c>
      <c r="E12" s="12">
        <v>2</v>
      </c>
      <c r="F12" s="9" t="s">
        <v>112</v>
      </c>
      <c r="G12" s="11" t="s">
        <v>271</v>
      </c>
      <c r="H12" s="12">
        <v>4</v>
      </c>
      <c r="I12" s="9" t="s">
        <v>130</v>
      </c>
      <c r="J12" s="11" t="s">
        <v>271</v>
      </c>
      <c r="K12" s="12">
        <v>6</v>
      </c>
      <c r="L12" s="9" t="s">
        <v>72</v>
      </c>
      <c r="M12" s="11" t="s">
        <v>271</v>
      </c>
      <c r="N12" s="12">
        <v>9</v>
      </c>
      <c r="O12" s="9" t="s">
        <v>210</v>
      </c>
      <c r="P12" s="11" t="s">
        <v>271</v>
      </c>
      <c r="Q12" s="13">
        <v>11</v>
      </c>
      <c r="R12" s="10" t="s">
        <v>97</v>
      </c>
    </row>
    <row r="13" spans="4:18" ht="13.5" x14ac:dyDescent="0.25">
      <c r="D13" s="11" t="s">
        <v>271</v>
      </c>
      <c r="E13" s="12">
        <v>2</v>
      </c>
      <c r="F13" s="9" t="s">
        <v>113</v>
      </c>
      <c r="G13" s="11" t="s">
        <v>271</v>
      </c>
      <c r="H13" s="12">
        <v>4</v>
      </c>
      <c r="I13" s="9" t="s">
        <v>131</v>
      </c>
      <c r="J13" s="11" t="s">
        <v>271</v>
      </c>
      <c r="K13" s="12">
        <v>7</v>
      </c>
      <c r="L13" s="9" t="s">
        <v>61</v>
      </c>
      <c r="M13" s="11" t="s">
        <v>271</v>
      </c>
      <c r="N13" s="12">
        <v>9</v>
      </c>
      <c r="O13" s="9" t="s">
        <v>211</v>
      </c>
      <c r="P13" s="11" t="s">
        <v>271</v>
      </c>
      <c r="Q13" s="13">
        <v>11</v>
      </c>
      <c r="R13" s="10" t="s">
        <v>98</v>
      </c>
    </row>
    <row r="14" spans="4:18" ht="13.5" x14ac:dyDescent="0.25">
      <c r="D14" s="11" t="s">
        <v>271</v>
      </c>
      <c r="E14" s="12">
        <v>2</v>
      </c>
      <c r="F14" s="9" t="s">
        <v>114</v>
      </c>
      <c r="G14" s="11" t="s">
        <v>271</v>
      </c>
      <c r="H14" s="12">
        <v>4</v>
      </c>
      <c r="I14" s="9" t="s">
        <v>132</v>
      </c>
      <c r="J14" s="11" t="s">
        <v>271</v>
      </c>
      <c r="K14" s="12">
        <v>7</v>
      </c>
      <c r="L14" s="9" t="s">
        <v>62</v>
      </c>
      <c r="M14" s="11" t="s">
        <v>271</v>
      </c>
      <c r="N14" s="12">
        <v>9</v>
      </c>
      <c r="O14" s="9" t="s">
        <v>212</v>
      </c>
      <c r="P14" s="11"/>
      <c r="Q14" s="13"/>
      <c r="R14" s="10"/>
    </row>
    <row r="15" spans="4:18" ht="13.5" x14ac:dyDescent="0.25">
      <c r="D15" s="11" t="s">
        <v>271</v>
      </c>
      <c r="E15" s="12">
        <v>2</v>
      </c>
      <c r="F15" s="9" t="s">
        <v>115</v>
      </c>
      <c r="G15" s="11" t="s">
        <v>271</v>
      </c>
      <c r="H15" s="12">
        <v>5</v>
      </c>
      <c r="I15" s="9" t="s">
        <v>204</v>
      </c>
      <c r="J15" s="11" t="s">
        <v>271</v>
      </c>
      <c r="K15" s="12">
        <v>7</v>
      </c>
      <c r="L15" s="9" t="s">
        <v>63</v>
      </c>
      <c r="M15" s="11" t="s">
        <v>271</v>
      </c>
      <c r="N15" s="12">
        <v>9</v>
      </c>
      <c r="O15" s="9" t="s">
        <v>213</v>
      </c>
      <c r="P15" s="11"/>
      <c r="Q15" s="13"/>
      <c r="R15" s="10"/>
    </row>
    <row r="16" spans="4:18" ht="13.5" x14ac:dyDescent="0.25">
      <c r="D16" s="11" t="s">
        <v>271</v>
      </c>
      <c r="E16" s="12">
        <v>2</v>
      </c>
      <c r="F16" s="9" t="s">
        <v>116</v>
      </c>
      <c r="G16" s="11" t="s">
        <v>271</v>
      </c>
      <c r="H16" s="12">
        <v>5</v>
      </c>
      <c r="I16" s="9" t="s">
        <v>205</v>
      </c>
      <c r="J16" s="11" t="s">
        <v>271</v>
      </c>
      <c r="K16" s="12">
        <v>7</v>
      </c>
      <c r="L16" s="9" t="s">
        <v>64</v>
      </c>
      <c r="M16" s="11" t="s">
        <v>271</v>
      </c>
      <c r="N16" s="12">
        <v>9</v>
      </c>
      <c r="O16" s="9" t="s">
        <v>214</v>
      </c>
      <c r="P16" s="11"/>
      <c r="Q16" s="13"/>
      <c r="R16" s="10"/>
    </row>
    <row r="17" spans="4:18" ht="13.5" x14ac:dyDescent="0.25">
      <c r="D17" s="11" t="s">
        <v>271</v>
      </c>
      <c r="E17" s="12">
        <v>2</v>
      </c>
      <c r="F17" s="9" t="s">
        <v>117</v>
      </c>
      <c r="G17" s="11" t="s">
        <v>271</v>
      </c>
      <c r="H17" s="12">
        <v>5</v>
      </c>
      <c r="I17" s="9" t="s">
        <v>206</v>
      </c>
      <c r="J17" s="11" t="s">
        <v>271</v>
      </c>
      <c r="K17" s="12">
        <v>7</v>
      </c>
      <c r="L17" s="9" t="s">
        <v>65</v>
      </c>
      <c r="M17" s="11" t="s">
        <v>271</v>
      </c>
      <c r="N17" s="12">
        <v>10</v>
      </c>
      <c r="O17" s="9" t="s">
        <v>215</v>
      </c>
      <c r="P17" s="11"/>
      <c r="Q17" s="13"/>
      <c r="R17" s="10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8"/>
  <sheetViews>
    <sheetView topLeftCell="C1" workbookViewId="0">
      <pane ySplit="1" topLeftCell="A2" activePane="bottomLeft" state="frozen"/>
      <selection pane="bottomLeft" activeCell="K31" sqref="K31"/>
    </sheetView>
  </sheetViews>
  <sheetFormatPr defaultColWidth="14.42578125" defaultRowHeight="15.75" customHeight="1" x14ac:dyDescent="0.2"/>
  <cols>
    <col min="1" max="14" width="21.5703125" customWidth="1"/>
  </cols>
  <sheetData>
    <row r="1" spans="1:8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x14ac:dyDescent="0.2">
      <c r="A2" s="2">
        <v>44077.564145034718</v>
      </c>
      <c r="B2" s="3" t="s">
        <v>19</v>
      </c>
      <c r="C2" s="3">
        <v>1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</row>
    <row r="3" spans="1:8" ht="12.75" x14ac:dyDescent="0.2">
      <c r="A3" s="2">
        <v>44083.506934201389</v>
      </c>
      <c r="B3" s="3" t="s">
        <v>19</v>
      </c>
      <c r="C3" s="3">
        <v>2</v>
      </c>
      <c r="D3" s="3" t="s">
        <v>192</v>
      </c>
      <c r="E3" s="3" t="s">
        <v>193</v>
      </c>
      <c r="F3" s="3" t="s">
        <v>194</v>
      </c>
      <c r="G3" s="3" t="s">
        <v>195</v>
      </c>
      <c r="H3" s="3" t="s">
        <v>196</v>
      </c>
    </row>
    <row r="4" spans="1:8" ht="12.75" x14ac:dyDescent="0.2">
      <c r="A4" s="2">
        <v>44083.614629201387</v>
      </c>
      <c r="B4" s="3" t="s">
        <v>19</v>
      </c>
      <c r="C4" s="3">
        <v>3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</row>
    <row r="5" spans="1:8" ht="12.75" x14ac:dyDescent="0.2">
      <c r="A5" s="2">
        <v>44077.588956157408</v>
      </c>
      <c r="B5" s="3" t="s">
        <v>19</v>
      </c>
      <c r="C5" s="3">
        <v>4</v>
      </c>
      <c r="D5" s="3" t="s">
        <v>51</v>
      </c>
      <c r="E5" s="3" t="s">
        <v>52</v>
      </c>
      <c r="F5" s="3" t="s">
        <v>53</v>
      </c>
      <c r="G5" s="3" t="s">
        <v>54</v>
      </c>
      <c r="H5" s="3" t="s">
        <v>55</v>
      </c>
    </row>
    <row r="6" spans="1:8" ht="12.75" x14ac:dyDescent="0.2">
      <c r="A6" s="2">
        <v>44081.52518423611</v>
      </c>
      <c r="B6" s="3" t="s">
        <v>19</v>
      </c>
      <c r="C6" s="3">
        <v>5</v>
      </c>
      <c r="D6" s="3" t="s">
        <v>123</v>
      </c>
      <c r="E6" s="3" t="s">
        <v>124</v>
      </c>
      <c r="F6" s="3" t="s">
        <v>125</v>
      </c>
      <c r="G6" s="3" t="s">
        <v>126</v>
      </c>
      <c r="H6" s="3" t="s">
        <v>127</v>
      </c>
    </row>
    <row r="7" spans="1:8" ht="12.75" x14ac:dyDescent="0.2">
      <c r="A7" s="2">
        <v>44077.554960046298</v>
      </c>
      <c r="B7" s="3" t="s">
        <v>19</v>
      </c>
      <c r="C7" s="3">
        <v>6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</row>
    <row r="8" spans="1:8" ht="12.75" x14ac:dyDescent="0.2">
      <c r="A8" s="2">
        <v>44082.56771418982</v>
      </c>
      <c r="B8" s="3" t="s">
        <v>19</v>
      </c>
      <c r="C8" s="3">
        <v>7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</row>
    <row r="9" spans="1:8" ht="12.75" x14ac:dyDescent="0.2">
      <c r="A9" s="2">
        <v>44083.602124699071</v>
      </c>
      <c r="B9" s="3" t="s">
        <v>19</v>
      </c>
      <c r="C9" s="6">
        <v>8</v>
      </c>
      <c r="D9" s="3" t="s">
        <v>225</v>
      </c>
      <c r="E9" s="3" t="s">
        <v>226</v>
      </c>
      <c r="F9" s="3" t="s">
        <v>227</v>
      </c>
      <c r="G9" s="3" t="s">
        <v>228</v>
      </c>
      <c r="H9" s="3" t="s">
        <v>229</v>
      </c>
    </row>
    <row r="10" spans="1:8" ht="12.75" x14ac:dyDescent="0.2">
      <c r="A10" s="2">
        <v>44078.672913240742</v>
      </c>
      <c r="B10" s="3" t="s">
        <v>19</v>
      </c>
      <c r="C10" s="3">
        <v>9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</row>
    <row r="11" spans="1:8" ht="12.75" x14ac:dyDescent="0.2">
      <c r="A11" s="2">
        <v>44076.66064371528</v>
      </c>
      <c r="B11" s="3" t="s">
        <v>19</v>
      </c>
      <c r="C11" s="3">
        <v>10</v>
      </c>
      <c r="D11" s="3" t="s">
        <v>25</v>
      </c>
      <c r="E11" s="3" t="s">
        <v>26</v>
      </c>
      <c r="F11" s="3" t="s">
        <v>27</v>
      </c>
      <c r="G11" s="3" t="s">
        <v>28</v>
      </c>
      <c r="H11" s="3" t="s">
        <v>29</v>
      </c>
    </row>
    <row r="12" spans="1:8" ht="12.75" x14ac:dyDescent="0.2">
      <c r="A12" s="2">
        <v>44076.651212013894</v>
      </c>
      <c r="B12" s="3" t="s">
        <v>19</v>
      </c>
      <c r="C12" s="3">
        <v>11</v>
      </c>
      <c r="D12" s="3" t="s">
        <v>20</v>
      </c>
      <c r="E12" s="3" t="s">
        <v>21</v>
      </c>
      <c r="F12" s="3" t="s">
        <v>22</v>
      </c>
      <c r="G12" s="3" t="s">
        <v>23</v>
      </c>
      <c r="H12" s="3" t="s">
        <v>24</v>
      </c>
    </row>
    <row r="13" spans="1:8" ht="12.75" x14ac:dyDescent="0.2">
      <c r="A13" s="2">
        <v>44077.358732685185</v>
      </c>
      <c r="B13" s="3" t="s">
        <v>19</v>
      </c>
      <c r="C13" s="3">
        <v>12</v>
      </c>
      <c r="D13" s="3" t="s">
        <v>30</v>
      </c>
      <c r="E13" s="3" t="s">
        <v>31</v>
      </c>
      <c r="F13" s="3" t="s">
        <v>32</v>
      </c>
      <c r="G13" s="3" t="s">
        <v>33</v>
      </c>
      <c r="H13" s="3" t="s">
        <v>34</v>
      </c>
    </row>
    <row r="14" spans="1:8" ht="12.75" x14ac:dyDescent="0.2">
      <c r="A14" s="2">
        <v>44082.732506099535</v>
      </c>
      <c r="B14" s="3" t="s">
        <v>19</v>
      </c>
      <c r="C14" s="3">
        <v>13</v>
      </c>
      <c r="D14" s="3" t="s">
        <v>167</v>
      </c>
      <c r="E14" s="3" t="s">
        <v>168</v>
      </c>
      <c r="F14" s="3" t="s">
        <v>169</v>
      </c>
      <c r="G14" s="3" t="s">
        <v>170</v>
      </c>
      <c r="H14" s="3" t="s">
        <v>171</v>
      </c>
    </row>
    <row r="15" spans="1:8" ht="12.75" x14ac:dyDescent="0.2">
      <c r="A15" s="2">
        <v>44083.329657581024</v>
      </c>
      <c r="B15" s="3" t="s">
        <v>73</v>
      </c>
      <c r="C15" s="3">
        <v>1</v>
      </c>
      <c r="D15" s="3" t="s">
        <v>177</v>
      </c>
      <c r="E15" s="3" t="s">
        <v>178</v>
      </c>
      <c r="F15" s="3" t="s">
        <v>179</v>
      </c>
      <c r="G15" s="3" t="s">
        <v>180</v>
      </c>
      <c r="H15" s="3" t="s">
        <v>181</v>
      </c>
    </row>
    <row r="16" spans="1:8" ht="12.75" x14ac:dyDescent="0.2">
      <c r="A16" s="2">
        <v>44082.711840682867</v>
      </c>
      <c r="B16" s="3" t="s">
        <v>73</v>
      </c>
      <c r="C16" s="3">
        <v>2</v>
      </c>
      <c r="D16" s="3" t="s">
        <v>162</v>
      </c>
      <c r="E16" s="3" t="s">
        <v>163</v>
      </c>
      <c r="F16" s="3" t="s">
        <v>164</v>
      </c>
      <c r="G16" s="3" t="s">
        <v>165</v>
      </c>
      <c r="H16" s="3" t="s">
        <v>166</v>
      </c>
    </row>
    <row r="17" spans="1:11" ht="12.75" x14ac:dyDescent="0.2">
      <c r="A17" s="2">
        <v>44083.653206493051</v>
      </c>
      <c r="B17" s="3" t="s">
        <v>73</v>
      </c>
      <c r="C17" s="3">
        <v>3</v>
      </c>
      <c r="D17" s="3" t="s">
        <v>240</v>
      </c>
      <c r="E17" s="3" t="s">
        <v>241</v>
      </c>
      <c r="F17" s="3" t="s">
        <v>242</v>
      </c>
      <c r="G17" s="3" t="s">
        <v>243</v>
      </c>
      <c r="H17" s="3" t="s">
        <v>244</v>
      </c>
    </row>
    <row r="18" spans="1:11" ht="12.75" x14ac:dyDescent="0.2">
      <c r="A18" s="2">
        <v>44078.683000219906</v>
      </c>
      <c r="B18" s="3" t="s">
        <v>73</v>
      </c>
      <c r="C18" s="3">
        <v>4</v>
      </c>
      <c r="D18" s="3" t="s">
        <v>99</v>
      </c>
      <c r="E18" s="3" t="s">
        <v>100</v>
      </c>
      <c r="F18" s="3" t="s">
        <v>101</v>
      </c>
      <c r="G18" s="3" t="s">
        <v>102</v>
      </c>
      <c r="H18" s="3" t="s">
        <v>103</v>
      </c>
    </row>
    <row r="19" spans="1:11" ht="12.75" x14ac:dyDescent="0.2">
      <c r="A19" s="2">
        <v>44078.576860173613</v>
      </c>
      <c r="B19" s="3" t="s">
        <v>73</v>
      </c>
      <c r="C19" s="3">
        <v>5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78</v>
      </c>
    </row>
    <row r="20" spans="1:11" ht="12.75" x14ac:dyDescent="0.2">
      <c r="A20" s="2">
        <v>44081.749536585645</v>
      </c>
      <c r="B20" s="3" t="s">
        <v>73</v>
      </c>
      <c r="C20" s="6">
        <v>6</v>
      </c>
      <c r="D20" s="3" t="s">
        <v>138</v>
      </c>
      <c r="E20" s="3" t="s">
        <v>139</v>
      </c>
      <c r="F20" s="3" t="s">
        <v>140</v>
      </c>
      <c r="G20" s="3" t="s">
        <v>141</v>
      </c>
      <c r="H20" s="6" t="s">
        <v>142</v>
      </c>
      <c r="I20" s="3" t="s">
        <v>143</v>
      </c>
    </row>
    <row r="21" spans="1:11" ht="12.75" x14ac:dyDescent="0.2">
      <c r="A21" s="2">
        <v>44078.868426018518</v>
      </c>
      <c r="B21" s="3" t="s">
        <v>73</v>
      </c>
      <c r="C21" s="3">
        <v>7</v>
      </c>
      <c r="D21" s="3" t="s">
        <v>79</v>
      </c>
      <c r="E21" s="3" t="s">
        <v>80</v>
      </c>
      <c r="F21" s="3" t="s">
        <v>81</v>
      </c>
      <c r="G21" s="3" t="s">
        <v>82</v>
      </c>
      <c r="H21" s="3" t="s">
        <v>83</v>
      </c>
    </row>
    <row r="22" spans="1:11" ht="12.75" x14ac:dyDescent="0.2">
      <c r="A22" s="2">
        <v>44081.450910208332</v>
      </c>
      <c r="B22" s="3" t="s">
        <v>73</v>
      </c>
      <c r="C22" s="3">
        <v>8</v>
      </c>
      <c r="D22" s="3" t="s">
        <v>118</v>
      </c>
      <c r="E22" s="3" t="s">
        <v>119</v>
      </c>
      <c r="F22" s="3" t="s">
        <v>120</v>
      </c>
      <c r="G22" s="3" t="s">
        <v>121</v>
      </c>
      <c r="H22" s="3" t="s">
        <v>122</v>
      </c>
    </row>
    <row r="23" spans="1:11" ht="12.75" x14ac:dyDescent="0.2">
      <c r="A23" s="2">
        <v>44083.565520706019</v>
      </c>
      <c r="B23" s="3" t="s">
        <v>73</v>
      </c>
      <c r="C23" s="3">
        <v>9</v>
      </c>
      <c r="D23" s="6" t="s">
        <v>197</v>
      </c>
      <c r="E23" s="3" t="s">
        <v>198</v>
      </c>
      <c r="F23" s="3" t="s">
        <v>199</v>
      </c>
      <c r="G23" s="3" t="s">
        <v>200</v>
      </c>
      <c r="H23" s="6" t="s">
        <v>201</v>
      </c>
      <c r="I23" s="3" t="s">
        <v>202</v>
      </c>
      <c r="J23" s="3" t="s">
        <v>203</v>
      </c>
    </row>
    <row r="24" spans="1:11" ht="12.75" x14ac:dyDescent="0.2">
      <c r="A24" s="2">
        <v>44081.978573078704</v>
      </c>
      <c r="B24" s="3" t="s">
        <v>73</v>
      </c>
      <c r="C24" s="3">
        <v>10</v>
      </c>
      <c r="D24" s="3" t="s">
        <v>144</v>
      </c>
      <c r="E24" s="3" t="s">
        <v>145</v>
      </c>
      <c r="F24" s="3" t="s">
        <v>146</v>
      </c>
      <c r="G24" s="3" t="s">
        <v>147</v>
      </c>
      <c r="H24" s="6" t="s">
        <v>148</v>
      </c>
      <c r="I24" s="3" t="s">
        <v>149</v>
      </c>
    </row>
    <row r="25" spans="1:11" ht="12.75" x14ac:dyDescent="0.2">
      <c r="A25" s="2">
        <v>44083.675855844907</v>
      </c>
      <c r="B25" s="3" t="s">
        <v>73</v>
      </c>
      <c r="C25" s="3">
        <v>11</v>
      </c>
      <c r="D25" s="3" t="s">
        <v>245</v>
      </c>
      <c r="E25" s="3" t="s">
        <v>246</v>
      </c>
      <c r="F25" s="3" t="s">
        <v>247</v>
      </c>
      <c r="G25" s="3" t="s">
        <v>248</v>
      </c>
      <c r="H25" s="3" t="s">
        <v>249</v>
      </c>
    </row>
    <row r="26" spans="1:11" ht="12.75" x14ac:dyDescent="0.2">
      <c r="B26" s="3" t="s">
        <v>8</v>
      </c>
      <c r="C26" s="3">
        <v>1</v>
      </c>
      <c r="D26" s="3" t="s">
        <v>255</v>
      </c>
      <c r="E26" s="3" t="s">
        <v>256</v>
      </c>
      <c r="F26" s="3" t="s">
        <v>257</v>
      </c>
      <c r="G26" s="3" t="s">
        <v>258</v>
      </c>
      <c r="H26" s="3" t="s">
        <v>259</v>
      </c>
    </row>
    <row r="27" spans="1:11" ht="12.75" x14ac:dyDescent="0.2">
      <c r="A27" s="2">
        <v>44078.613649074076</v>
      </c>
      <c r="B27" s="3" t="s">
        <v>8</v>
      </c>
      <c r="C27" s="3">
        <v>2</v>
      </c>
      <c r="D27" s="3" t="s">
        <v>89</v>
      </c>
      <c r="E27" s="3" t="s">
        <v>90</v>
      </c>
      <c r="F27" s="3" t="s">
        <v>91</v>
      </c>
      <c r="G27" s="3" t="s">
        <v>92</v>
      </c>
      <c r="H27" s="6" t="s">
        <v>93</v>
      </c>
    </row>
    <row r="28" spans="1:11" ht="15.75" customHeight="1" x14ac:dyDescent="0.25">
      <c r="A28" s="2">
        <v>44082.695328368056</v>
      </c>
      <c r="B28" s="3" t="s">
        <v>8</v>
      </c>
      <c r="C28" s="3">
        <v>3</v>
      </c>
      <c r="D28" s="3" t="s">
        <v>155</v>
      </c>
      <c r="E28" s="6" t="s">
        <v>156</v>
      </c>
      <c r="F28" s="3" t="s">
        <v>157</v>
      </c>
      <c r="G28" s="3" t="s">
        <v>158</v>
      </c>
      <c r="H28" s="6" t="s">
        <v>159</v>
      </c>
      <c r="I28" s="3" t="s">
        <v>160</v>
      </c>
      <c r="J28" s="4" t="s">
        <v>161</v>
      </c>
      <c r="K28" s="7" t="s">
        <v>268</v>
      </c>
    </row>
    <row r="29" spans="1:11" ht="12.75" x14ac:dyDescent="0.2">
      <c r="A29" s="2">
        <v>44081.615599930556</v>
      </c>
      <c r="B29" s="3" t="s">
        <v>8</v>
      </c>
      <c r="C29" s="3">
        <v>4</v>
      </c>
      <c r="D29" s="3" t="s">
        <v>133</v>
      </c>
      <c r="E29" s="3" t="s">
        <v>134</v>
      </c>
      <c r="F29" s="3" t="s">
        <v>135</v>
      </c>
      <c r="G29" s="3" t="s">
        <v>136</v>
      </c>
      <c r="H29" s="3" t="s">
        <v>137</v>
      </c>
    </row>
    <row r="30" spans="1:11" ht="12.75" x14ac:dyDescent="0.2">
      <c r="A30" s="2">
        <v>44084.399952858796</v>
      </c>
      <c r="B30" s="3" t="s">
        <v>8</v>
      </c>
      <c r="C30" s="3">
        <v>5</v>
      </c>
      <c r="D30" s="3" t="s">
        <v>250</v>
      </c>
      <c r="E30" s="3" t="s">
        <v>251</v>
      </c>
      <c r="F30" s="3" t="s">
        <v>252</v>
      </c>
      <c r="G30" s="3" t="s">
        <v>253</v>
      </c>
      <c r="H30" s="3" t="s">
        <v>254</v>
      </c>
    </row>
    <row r="31" spans="1:11" ht="12.75" x14ac:dyDescent="0.2">
      <c r="A31" s="2">
        <v>44076.618229837964</v>
      </c>
      <c r="B31" s="3" t="s">
        <v>8</v>
      </c>
      <c r="C31" s="3">
        <v>6</v>
      </c>
      <c r="D31" s="3" t="s">
        <v>14</v>
      </c>
      <c r="E31" s="3" t="s">
        <v>15</v>
      </c>
      <c r="F31" s="3" t="s">
        <v>16</v>
      </c>
      <c r="G31" s="3" t="s">
        <v>17</v>
      </c>
      <c r="H31" s="3" t="s">
        <v>18</v>
      </c>
    </row>
    <row r="32" spans="1:11" ht="12.75" x14ac:dyDescent="0.2">
      <c r="A32" s="2">
        <v>44076.45785017361</v>
      </c>
      <c r="B32" s="3" t="s">
        <v>8</v>
      </c>
      <c r="C32" s="3">
        <v>7</v>
      </c>
      <c r="D32" s="3" t="s">
        <v>9</v>
      </c>
      <c r="E32" s="3" t="s">
        <v>10</v>
      </c>
      <c r="F32" s="3" t="s">
        <v>11</v>
      </c>
      <c r="G32" s="3" t="s">
        <v>12</v>
      </c>
      <c r="H32" s="3" t="s">
        <v>13</v>
      </c>
    </row>
    <row r="33" spans="1:10" ht="12.75" x14ac:dyDescent="0.2">
      <c r="A33" s="2">
        <v>44077.647471273143</v>
      </c>
      <c r="B33" s="3" t="s">
        <v>8</v>
      </c>
      <c r="C33" s="3">
        <v>8</v>
      </c>
      <c r="D33" s="3" t="s">
        <v>56</v>
      </c>
      <c r="E33" s="3" t="s">
        <v>57</v>
      </c>
      <c r="F33" s="3" t="s">
        <v>58</v>
      </c>
      <c r="G33" s="3" t="s">
        <v>59</v>
      </c>
      <c r="H33" s="3" t="s">
        <v>60</v>
      </c>
    </row>
    <row r="34" spans="1:10" ht="12.75" x14ac:dyDescent="0.2">
      <c r="A34" s="2">
        <v>44083.378275277777</v>
      </c>
      <c r="B34" s="3" t="s">
        <v>8</v>
      </c>
      <c r="C34" s="3">
        <v>9</v>
      </c>
      <c r="D34" s="3" t="s">
        <v>182</v>
      </c>
      <c r="E34" s="3" t="s">
        <v>183</v>
      </c>
      <c r="F34" s="3" t="s">
        <v>184</v>
      </c>
      <c r="G34" s="3" t="s">
        <v>185</v>
      </c>
      <c r="H34" s="3" t="s">
        <v>186</v>
      </c>
    </row>
    <row r="35" spans="1:10" ht="12.75" x14ac:dyDescent="0.2">
      <c r="A35" s="2">
        <v>44082.752201377312</v>
      </c>
      <c r="B35" s="3" t="s">
        <v>8</v>
      </c>
      <c r="C35" s="3">
        <v>10</v>
      </c>
      <c r="D35" s="3" t="s">
        <v>172</v>
      </c>
      <c r="E35" s="3" t="s">
        <v>173</v>
      </c>
      <c r="F35" s="3" t="s">
        <v>174</v>
      </c>
      <c r="G35" s="3" t="s">
        <v>175</v>
      </c>
      <c r="H35" s="3" t="s">
        <v>176</v>
      </c>
    </row>
    <row r="36" spans="1:10" ht="12.75" x14ac:dyDescent="0.2">
      <c r="A36" s="2">
        <v>44083.414753206016</v>
      </c>
      <c r="B36" s="3" t="s">
        <v>8</v>
      </c>
      <c r="C36" s="3">
        <v>11</v>
      </c>
      <c r="D36" s="3" t="s">
        <v>187</v>
      </c>
      <c r="E36" s="3" t="s">
        <v>188</v>
      </c>
      <c r="F36" s="3" t="s">
        <v>189</v>
      </c>
      <c r="G36" s="3" t="s">
        <v>190</v>
      </c>
      <c r="H36" s="3" t="s">
        <v>191</v>
      </c>
    </row>
    <row r="37" spans="1:10" ht="12.75" x14ac:dyDescent="0.2">
      <c r="A37" s="2">
        <v>44083.595985659718</v>
      </c>
      <c r="B37" s="3" t="s">
        <v>8</v>
      </c>
      <c r="C37" s="3">
        <v>12</v>
      </c>
      <c r="D37" s="3" t="s">
        <v>220</v>
      </c>
      <c r="E37" s="3" t="s">
        <v>221</v>
      </c>
      <c r="F37" s="3" t="s">
        <v>222</v>
      </c>
      <c r="G37" s="3" t="s">
        <v>223</v>
      </c>
      <c r="H37" s="3" t="s">
        <v>224</v>
      </c>
    </row>
    <row r="38" spans="1:10" ht="12.75" x14ac:dyDescent="0.2">
      <c r="A38" s="2">
        <v>44080.935395266206</v>
      </c>
      <c r="B38" s="3" t="s">
        <v>35</v>
      </c>
      <c r="C38" s="3">
        <v>1</v>
      </c>
      <c r="D38" s="3" t="s">
        <v>104</v>
      </c>
      <c r="E38" s="3" t="s">
        <v>105</v>
      </c>
      <c r="F38" s="3" t="s">
        <v>106</v>
      </c>
      <c r="G38" s="3" t="s">
        <v>107</v>
      </c>
      <c r="H38" s="6" t="s">
        <v>109</v>
      </c>
      <c r="I38" s="3" t="s">
        <v>110</v>
      </c>
      <c r="J38" s="3" t="s">
        <v>111</v>
      </c>
    </row>
    <row r="39" spans="1:10" ht="12.75" x14ac:dyDescent="0.2">
      <c r="A39" s="2">
        <v>44081.387948831019</v>
      </c>
      <c r="B39" s="3" t="s">
        <v>35</v>
      </c>
      <c r="C39" s="3">
        <v>2</v>
      </c>
      <c r="D39" s="3" t="s">
        <v>112</v>
      </c>
      <c r="E39" s="3" t="s">
        <v>113</v>
      </c>
      <c r="F39" s="3" t="s">
        <v>114</v>
      </c>
      <c r="G39" s="3" t="s">
        <v>115</v>
      </c>
      <c r="H39" s="6" t="s">
        <v>116</v>
      </c>
      <c r="I39" s="3" t="s">
        <v>117</v>
      </c>
    </row>
    <row r="40" spans="1:10" ht="12.75" x14ac:dyDescent="0.2">
      <c r="A40" s="2">
        <v>44077.47485003472</v>
      </c>
      <c r="B40" s="3" t="s">
        <v>35</v>
      </c>
      <c r="C40" s="3">
        <v>3</v>
      </c>
      <c r="D40" s="3" t="s">
        <v>36</v>
      </c>
      <c r="E40" s="3" t="s">
        <v>37</v>
      </c>
      <c r="F40" s="3" t="s">
        <v>38</v>
      </c>
      <c r="G40" s="3" t="s">
        <v>39</v>
      </c>
      <c r="H40" s="3" t="s">
        <v>40</v>
      </c>
    </row>
    <row r="41" spans="1:10" ht="12.75" x14ac:dyDescent="0.2">
      <c r="A41" s="2">
        <v>44081.528900891208</v>
      </c>
      <c r="B41" s="3" t="s">
        <v>35</v>
      </c>
      <c r="C41" s="3">
        <v>4</v>
      </c>
      <c r="D41" s="3" t="s">
        <v>128</v>
      </c>
      <c r="E41" s="3" t="s">
        <v>129</v>
      </c>
      <c r="F41" s="3" t="s">
        <v>130</v>
      </c>
      <c r="G41" s="3" t="s">
        <v>131</v>
      </c>
      <c r="H41" s="3" t="s">
        <v>132</v>
      </c>
    </row>
    <row r="42" spans="1:10" ht="12.75" x14ac:dyDescent="0.2">
      <c r="A42" s="2">
        <v>44083.570050289352</v>
      </c>
      <c r="B42" s="3" t="s">
        <v>35</v>
      </c>
      <c r="C42" s="3">
        <v>5</v>
      </c>
      <c r="D42" s="3" t="s">
        <v>204</v>
      </c>
      <c r="E42" s="3" t="s">
        <v>205</v>
      </c>
      <c r="F42" s="3" t="s">
        <v>206</v>
      </c>
      <c r="G42" s="3" t="s">
        <v>207</v>
      </c>
      <c r="H42" s="6" t="s">
        <v>208</v>
      </c>
      <c r="I42" s="3" t="s">
        <v>209</v>
      </c>
    </row>
    <row r="43" spans="1:10" ht="12.75" x14ac:dyDescent="0.2">
      <c r="A43" s="2">
        <v>44078.531263182871</v>
      </c>
      <c r="B43" s="3" t="s">
        <v>35</v>
      </c>
      <c r="C43" s="3">
        <v>6</v>
      </c>
      <c r="D43" s="3" t="s">
        <v>68</v>
      </c>
      <c r="E43" s="3" t="s">
        <v>69</v>
      </c>
      <c r="F43" s="3" t="s">
        <v>70</v>
      </c>
      <c r="G43" s="3" t="s">
        <v>71</v>
      </c>
      <c r="H43" s="3" t="s">
        <v>72</v>
      </c>
    </row>
    <row r="44" spans="1:10" ht="12.75" x14ac:dyDescent="0.2">
      <c r="A44" s="2">
        <v>44077.994100451389</v>
      </c>
      <c r="B44" s="3" t="s">
        <v>35</v>
      </c>
      <c r="C44" s="3">
        <v>7</v>
      </c>
      <c r="D44" s="3" t="s">
        <v>61</v>
      </c>
      <c r="E44" s="3" t="s">
        <v>62</v>
      </c>
      <c r="F44" s="3" t="s">
        <v>63</v>
      </c>
      <c r="G44" s="3" t="s">
        <v>64</v>
      </c>
      <c r="H44" s="3" t="s">
        <v>65</v>
      </c>
      <c r="I44" s="4" t="s">
        <v>66</v>
      </c>
      <c r="J44" s="3" t="s">
        <v>67</v>
      </c>
    </row>
    <row r="45" spans="1:10" ht="12.75" x14ac:dyDescent="0.2">
      <c r="A45" s="2">
        <v>44083.639875462963</v>
      </c>
      <c r="B45" s="3" t="s">
        <v>35</v>
      </c>
      <c r="C45" s="3">
        <v>8</v>
      </c>
      <c r="D45" s="3" t="s">
        <v>235</v>
      </c>
      <c r="E45" s="3" t="s">
        <v>236</v>
      </c>
      <c r="F45" s="3" t="s">
        <v>237</v>
      </c>
      <c r="G45" s="3" t="s">
        <v>238</v>
      </c>
      <c r="H45" s="3" t="s">
        <v>239</v>
      </c>
    </row>
    <row r="46" spans="1:10" ht="12.75" x14ac:dyDescent="0.2">
      <c r="A46" s="2">
        <v>44083.570352418981</v>
      </c>
      <c r="B46" s="3" t="s">
        <v>35</v>
      </c>
      <c r="C46" s="3">
        <v>9</v>
      </c>
      <c r="D46" s="3" t="s">
        <v>210</v>
      </c>
      <c r="E46" s="3" t="s">
        <v>211</v>
      </c>
      <c r="F46" s="3" t="s">
        <v>212</v>
      </c>
      <c r="G46" s="3" t="s">
        <v>213</v>
      </c>
      <c r="H46" s="3" t="s">
        <v>214</v>
      </c>
    </row>
    <row r="47" spans="1:10" ht="12.75" x14ac:dyDescent="0.2">
      <c r="A47" s="2">
        <v>44083.575819143516</v>
      </c>
      <c r="B47" s="3" t="s">
        <v>35</v>
      </c>
      <c r="C47" s="3">
        <v>10</v>
      </c>
      <c r="D47" s="3" t="s">
        <v>215</v>
      </c>
      <c r="E47" s="3" t="s">
        <v>216</v>
      </c>
      <c r="F47" s="3" t="s">
        <v>217</v>
      </c>
      <c r="G47" s="3" t="s">
        <v>218</v>
      </c>
      <c r="H47" s="3" t="s">
        <v>219</v>
      </c>
    </row>
    <row r="48" spans="1:10" ht="12.75" x14ac:dyDescent="0.2">
      <c r="A48" s="2">
        <v>44078.622662164351</v>
      </c>
      <c r="B48" s="3" t="s">
        <v>35</v>
      </c>
      <c r="C48" s="3">
        <v>11</v>
      </c>
      <c r="D48" s="3" t="s">
        <v>94</v>
      </c>
      <c r="E48" s="3" t="s">
        <v>95</v>
      </c>
      <c r="F48" s="3" t="s">
        <v>96</v>
      </c>
      <c r="G48" s="3" t="s">
        <v>97</v>
      </c>
      <c r="H48" s="3" t="s">
        <v>98</v>
      </c>
    </row>
  </sheetData>
  <sortState ref="A38:J48">
    <sortCondition ref="C38:C48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0395-389D-4BC8-87DF-C6CAF74BC959}">
  <dimension ref="D4:R17"/>
  <sheetViews>
    <sheetView workbookViewId="0">
      <selection activeCell="U19" sqref="U19"/>
    </sheetView>
  </sheetViews>
  <sheetFormatPr defaultRowHeight="12.75" x14ac:dyDescent="0.2"/>
  <cols>
    <col min="4" max="5" width="3" customWidth="1"/>
    <col min="6" max="6" width="6.5703125" customWidth="1"/>
    <col min="7" max="7" width="2.85546875" customWidth="1"/>
    <col min="8" max="8" width="3" customWidth="1"/>
    <col min="9" max="9" width="6.5703125" customWidth="1"/>
    <col min="10" max="10" width="2.85546875" customWidth="1"/>
    <col min="11" max="11" width="3" customWidth="1"/>
    <col min="12" max="12" width="6.7109375" customWidth="1"/>
    <col min="13" max="14" width="3" customWidth="1"/>
    <col min="15" max="15" width="6.5703125" customWidth="1"/>
    <col min="16" max="17" width="3" customWidth="1"/>
    <col min="18" max="18" width="6.5703125" customWidth="1"/>
  </cols>
  <sheetData>
    <row r="4" spans="4:18" ht="18.75" x14ac:dyDescent="0.3">
      <c r="D4" s="14" t="s">
        <v>273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4:18" ht="13.5" x14ac:dyDescent="0.25">
      <c r="D5" s="11" t="s">
        <v>270</v>
      </c>
      <c r="E5" s="12">
        <v>1</v>
      </c>
      <c r="F5" s="9" t="s">
        <v>46</v>
      </c>
      <c r="G5" s="11" t="s">
        <v>270</v>
      </c>
      <c r="H5" s="12">
        <v>3</v>
      </c>
      <c r="I5" s="9" t="s">
        <v>233</v>
      </c>
      <c r="J5" s="11" t="s">
        <v>270</v>
      </c>
      <c r="K5" s="12">
        <v>6</v>
      </c>
      <c r="L5" s="9" t="s">
        <v>42</v>
      </c>
      <c r="M5" s="11" t="s">
        <v>270</v>
      </c>
      <c r="N5" s="12">
        <v>8</v>
      </c>
      <c r="O5" s="9" t="s">
        <v>229</v>
      </c>
      <c r="P5" s="11" t="s">
        <v>270</v>
      </c>
      <c r="Q5" s="13">
        <v>11</v>
      </c>
      <c r="R5" s="10" t="s">
        <v>22</v>
      </c>
    </row>
    <row r="6" spans="4:18" ht="13.5" x14ac:dyDescent="0.25">
      <c r="D6" s="11" t="s">
        <v>270</v>
      </c>
      <c r="E6" s="12">
        <v>1</v>
      </c>
      <c r="F6" s="9" t="s">
        <v>47</v>
      </c>
      <c r="G6" s="11" t="s">
        <v>270</v>
      </c>
      <c r="H6" s="12">
        <v>3</v>
      </c>
      <c r="I6" s="9" t="s">
        <v>234</v>
      </c>
      <c r="J6" s="11" t="s">
        <v>270</v>
      </c>
      <c r="K6" s="12">
        <v>6</v>
      </c>
      <c r="L6" s="9" t="s">
        <v>43</v>
      </c>
      <c r="M6" s="11" t="s">
        <v>270</v>
      </c>
      <c r="N6" s="12">
        <v>9</v>
      </c>
      <c r="O6" s="9" t="s">
        <v>84</v>
      </c>
      <c r="P6" s="11" t="s">
        <v>270</v>
      </c>
      <c r="Q6" s="13">
        <v>11</v>
      </c>
      <c r="R6" s="10" t="s">
        <v>23</v>
      </c>
    </row>
    <row r="7" spans="4:18" ht="13.5" x14ac:dyDescent="0.25">
      <c r="D7" s="11" t="s">
        <v>270</v>
      </c>
      <c r="E7" s="12">
        <v>1</v>
      </c>
      <c r="F7" s="9" t="s">
        <v>48</v>
      </c>
      <c r="G7" s="11" t="s">
        <v>270</v>
      </c>
      <c r="H7" s="12">
        <v>4</v>
      </c>
      <c r="I7" s="9" t="s">
        <v>51</v>
      </c>
      <c r="J7" s="11" t="s">
        <v>270</v>
      </c>
      <c r="K7" s="12">
        <v>6</v>
      </c>
      <c r="L7" s="9" t="s">
        <v>44</v>
      </c>
      <c r="M7" s="11" t="s">
        <v>270</v>
      </c>
      <c r="N7" s="12">
        <v>9</v>
      </c>
      <c r="O7" s="9" t="s">
        <v>85</v>
      </c>
      <c r="P7" s="11" t="s">
        <v>270</v>
      </c>
      <c r="Q7" s="13">
        <v>11</v>
      </c>
      <c r="R7" s="10" t="s">
        <v>24</v>
      </c>
    </row>
    <row r="8" spans="4:18" ht="13.5" x14ac:dyDescent="0.25">
      <c r="D8" s="11" t="s">
        <v>270</v>
      </c>
      <c r="E8" s="12">
        <v>1</v>
      </c>
      <c r="F8" s="9" t="s">
        <v>49</v>
      </c>
      <c r="G8" s="11" t="s">
        <v>270</v>
      </c>
      <c r="H8" s="12">
        <v>4</v>
      </c>
      <c r="I8" s="9" t="s">
        <v>52</v>
      </c>
      <c r="J8" s="11" t="s">
        <v>270</v>
      </c>
      <c r="K8" s="12">
        <v>6</v>
      </c>
      <c r="L8" s="9" t="s">
        <v>45</v>
      </c>
      <c r="M8" s="11" t="s">
        <v>270</v>
      </c>
      <c r="N8" s="12">
        <v>9</v>
      </c>
      <c r="O8" s="9" t="s">
        <v>86</v>
      </c>
      <c r="P8" s="11" t="s">
        <v>270</v>
      </c>
      <c r="Q8" s="13">
        <v>12</v>
      </c>
      <c r="R8" s="10" t="s">
        <v>30</v>
      </c>
    </row>
    <row r="9" spans="4:18" ht="13.5" x14ac:dyDescent="0.25">
      <c r="D9" s="11" t="s">
        <v>270</v>
      </c>
      <c r="E9" s="12">
        <v>1</v>
      </c>
      <c r="F9" s="9" t="s">
        <v>50</v>
      </c>
      <c r="G9" s="11" t="s">
        <v>270</v>
      </c>
      <c r="H9" s="12">
        <v>4</v>
      </c>
      <c r="I9" s="9" t="s">
        <v>53</v>
      </c>
      <c r="J9" s="11" t="s">
        <v>270</v>
      </c>
      <c r="K9" s="12">
        <v>7</v>
      </c>
      <c r="L9" s="9" t="s">
        <v>150</v>
      </c>
      <c r="M9" s="11" t="s">
        <v>270</v>
      </c>
      <c r="N9" s="12">
        <v>9</v>
      </c>
      <c r="O9" s="9" t="s">
        <v>87</v>
      </c>
      <c r="P9" s="11" t="s">
        <v>270</v>
      </c>
      <c r="Q9" s="13">
        <v>12</v>
      </c>
      <c r="R9" s="10" t="s">
        <v>31</v>
      </c>
    </row>
    <row r="10" spans="4:18" ht="13.5" x14ac:dyDescent="0.25">
      <c r="D10" s="11" t="s">
        <v>270</v>
      </c>
      <c r="E10" s="12">
        <v>2</v>
      </c>
      <c r="F10" s="9" t="s">
        <v>192</v>
      </c>
      <c r="G10" s="11" t="s">
        <v>270</v>
      </c>
      <c r="H10" s="12">
        <v>4</v>
      </c>
      <c r="I10" s="9" t="s">
        <v>54</v>
      </c>
      <c r="J10" s="11" t="s">
        <v>270</v>
      </c>
      <c r="K10" s="12">
        <v>7</v>
      </c>
      <c r="L10" s="9" t="s">
        <v>151</v>
      </c>
      <c r="M10" s="11" t="s">
        <v>270</v>
      </c>
      <c r="N10" s="12">
        <v>9</v>
      </c>
      <c r="O10" s="9" t="s">
        <v>88</v>
      </c>
      <c r="P10" s="11" t="s">
        <v>270</v>
      </c>
      <c r="Q10" s="13">
        <v>12</v>
      </c>
      <c r="R10" s="10" t="s">
        <v>32</v>
      </c>
    </row>
    <row r="11" spans="4:18" ht="13.5" x14ac:dyDescent="0.25">
      <c r="D11" s="11" t="s">
        <v>270</v>
      </c>
      <c r="E11" s="12">
        <v>2</v>
      </c>
      <c r="F11" s="9" t="s">
        <v>193</v>
      </c>
      <c r="G11" s="11" t="s">
        <v>270</v>
      </c>
      <c r="H11" s="12">
        <v>4</v>
      </c>
      <c r="I11" s="9" t="s">
        <v>55</v>
      </c>
      <c r="J11" s="11" t="s">
        <v>270</v>
      </c>
      <c r="K11" s="12">
        <v>7</v>
      </c>
      <c r="L11" s="9" t="s">
        <v>152</v>
      </c>
      <c r="M11" s="11" t="s">
        <v>270</v>
      </c>
      <c r="N11" s="12">
        <v>10</v>
      </c>
      <c r="O11" s="9" t="s">
        <v>25</v>
      </c>
      <c r="P11" s="11" t="s">
        <v>270</v>
      </c>
      <c r="Q11" s="13">
        <v>12</v>
      </c>
      <c r="R11" s="10" t="s">
        <v>33</v>
      </c>
    </row>
    <row r="12" spans="4:18" ht="13.5" x14ac:dyDescent="0.25">
      <c r="D12" s="11" t="s">
        <v>270</v>
      </c>
      <c r="E12" s="12">
        <v>2</v>
      </c>
      <c r="F12" s="9" t="s">
        <v>194</v>
      </c>
      <c r="G12" s="11" t="s">
        <v>270</v>
      </c>
      <c r="H12" s="12">
        <v>5</v>
      </c>
      <c r="I12" s="9" t="s">
        <v>123</v>
      </c>
      <c r="J12" s="11" t="s">
        <v>270</v>
      </c>
      <c r="K12" s="12">
        <v>7</v>
      </c>
      <c r="L12" s="9" t="s">
        <v>153</v>
      </c>
      <c r="M12" s="11" t="s">
        <v>270</v>
      </c>
      <c r="N12" s="12">
        <v>10</v>
      </c>
      <c r="O12" s="9" t="s">
        <v>26</v>
      </c>
      <c r="P12" s="11" t="s">
        <v>270</v>
      </c>
      <c r="Q12" s="13">
        <v>12</v>
      </c>
      <c r="R12" s="10" t="s">
        <v>34</v>
      </c>
    </row>
    <row r="13" spans="4:18" ht="13.5" x14ac:dyDescent="0.25">
      <c r="D13" s="11" t="s">
        <v>270</v>
      </c>
      <c r="E13" s="12">
        <v>2</v>
      </c>
      <c r="F13" s="9" t="s">
        <v>195</v>
      </c>
      <c r="G13" s="11" t="s">
        <v>270</v>
      </c>
      <c r="H13" s="12">
        <v>5</v>
      </c>
      <c r="I13" s="9" t="s">
        <v>124</v>
      </c>
      <c r="J13" s="11" t="s">
        <v>270</v>
      </c>
      <c r="K13" s="12">
        <v>7</v>
      </c>
      <c r="L13" s="9" t="s">
        <v>154</v>
      </c>
      <c r="M13" s="11" t="s">
        <v>270</v>
      </c>
      <c r="N13" s="12">
        <v>10</v>
      </c>
      <c r="O13" s="9" t="s">
        <v>27</v>
      </c>
      <c r="P13" s="11" t="s">
        <v>270</v>
      </c>
      <c r="Q13" s="13">
        <v>13</v>
      </c>
      <c r="R13" s="10" t="s">
        <v>167</v>
      </c>
    </row>
    <row r="14" spans="4:18" ht="13.5" x14ac:dyDescent="0.25">
      <c r="D14" s="11" t="s">
        <v>270</v>
      </c>
      <c r="E14" s="12">
        <v>2</v>
      </c>
      <c r="F14" s="9" t="s">
        <v>196</v>
      </c>
      <c r="G14" s="11" t="s">
        <v>270</v>
      </c>
      <c r="H14" s="12">
        <v>5</v>
      </c>
      <c r="I14" s="9" t="s">
        <v>125</v>
      </c>
      <c r="J14" s="11" t="s">
        <v>270</v>
      </c>
      <c r="K14" s="12">
        <v>8</v>
      </c>
      <c r="L14" s="9" t="s">
        <v>225</v>
      </c>
      <c r="M14" s="11" t="s">
        <v>270</v>
      </c>
      <c r="N14" s="12">
        <v>10</v>
      </c>
      <c r="O14" s="9" t="s">
        <v>28</v>
      </c>
      <c r="P14" s="11" t="s">
        <v>270</v>
      </c>
      <c r="Q14" s="13">
        <v>13</v>
      </c>
      <c r="R14" s="10" t="s">
        <v>168</v>
      </c>
    </row>
    <row r="15" spans="4:18" ht="13.5" x14ac:dyDescent="0.25">
      <c r="D15" s="11" t="s">
        <v>270</v>
      </c>
      <c r="E15" s="12">
        <v>3</v>
      </c>
      <c r="F15" s="9" t="s">
        <v>230</v>
      </c>
      <c r="G15" s="11" t="s">
        <v>270</v>
      </c>
      <c r="H15" s="12">
        <v>5</v>
      </c>
      <c r="I15" s="9" t="s">
        <v>126</v>
      </c>
      <c r="J15" s="11" t="s">
        <v>270</v>
      </c>
      <c r="K15" s="12">
        <v>8</v>
      </c>
      <c r="L15" s="9" t="s">
        <v>226</v>
      </c>
      <c r="M15" s="11" t="s">
        <v>270</v>
      </c>
      <c r="N15" s="12">
        <v>10</v>
      </c>
      <c r="O15" s="9" t="s">
        <v>29</v>
      </c>
      <c r="P15" s="11" t="s">
        <v>270</v>
      </c>
      <c r="Q15" s="13">
        <v>13</v>
      </c>
      <c r="R15" s="10" t="s">
        <v>169</v>
      </c>
    </row>
    <row r="16" spans="4:18" ht="13.5" x14ac:dyDescent="0.25">
      <c r="D16" s="11" t="s">
        <v>270</v>
      </c>
      <c r="E16" s="12">
        <v>3</v>
      </c>
      <c r="F16" s="9" t="s">
        <v>231</v>
      </c>
      <c r="G16" s="11" t="s">
        <v>270</v>
      </c>
      <c r="H16" s="12">
        <v>5</v>
      </c>
      <c r="I16" s="9" t="s">
        <v>127</v>
      </c>
      <c r="J16" s="11" t="s">
        <v>270</v>
      </c>
      <c r="K16" s="12">
        <v>8</v>
      </c>
      <c r="L16" s="9" t="s">
        <v>227</v>
      </c>
      <c r="M16" s="11" t="s">
        <v>270</v>
      </c>
      <c r="N16" s="12">
        <v>11</v>
      </c>
      <c r="O16" s="9" t="s">
        <v>20</v>
      </c>
      <c r="P16" s="11" t="s">
        <v>270</v>
      </c>
      <c r="Q16" s="13">
        <v>13</v>
      </c>
      <c r="R16" s="10" t="s">
        <v>170</v>
      </c>
    </row>
    <row r="17" spans="4:18" ht="13.5" x14ac:dyDescent="0.25">
      <c r="D17" s="11" t="s">
        <v>270</v>
      </c>
      <c r="E17" s="12">
        <v>3</v>
      </c>
      <c r="F17" s="9" t="s">
        <v>232</v>
      </c>
      <c r="G17" s="11" t="s">
        <v>270</v>
      </c>
      <c r="H17" s="12">
        <v>6</v>
      </c>
      <c r="I17" s="9" t="s">
        <v>41</v>
      </c>
      <c r="J17" s="11" t="s">
        <v>270</v>
      </c>
      <c r="K17" s="12">
        <v>8</v>
      </c>
      <c r="L17" s="9" t="s">
        <v>228</v>
      </c>
      <c r="M17" s="11" t="s">
        <v>270</v>
      </c>
      <c r="N17" s="12">
        <v>11</v>
      </c>
      <c r="O17" s="9" t="s">
        <v>21</v>
      </c>
      <c r="P17" s="11" t="s">
        <v>270</v>
      </c>
      <c r="Q17" s="13">
        <v>13</v>
      </c>
      <c r="R17" s="10" t="s">
        <v>171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50"/>
  <sheetViews>
    <sheetView workbookViewId="0"/>
  </sheetViews>
  <sheetFormatPr defaultColWidth="14.42578125" defaultRowHeight="15.75" customHeight="1" x14ac:dyDescent="0.2"/>
  <sheetData>
    <row r="1" spans="1:12" x14ac:dyDescent="0.2">
      <c r="A1" s="1" t="str">
        <f ca="1">IFERROR(__xludf.DUMMYFUNCTION("IMPORTRANGE(""1q1e20EYbi2qFjZbPranSki2OSzWBiSPws7WBoHtIAbQ"",""表單回應 1!B1:K250"")"),"年級")</f>
        <v>年級</v>
      </c>
      <c r="B1" s="1" t="str">
        <f ca="1">IFERROR(__xludf.DUMMYFUNCTION("""COMPUTED_VALUE"""),"班級")</f>
        <v>班級</v>
      </c>
      <c r="C1" s="1" t="str">
        <f ca="1">IFERROR(__xludf.DUMMYFUNCTION("""COMPUTED_VALUE"""),"學生姓名1")</f>
        <v>學生姓名1</v>
      </c>
      <c r="D1" s="1" t="str">
        <f ca="1">IFERROR(__xludf.DUMMYFUNCTION("""COMPUTED_VALUE"""),"學生姓名2")</f>
        <v>學生姓名2</v>
      </c>
      <c r="E1" s="1" t="str">
        <f ca="1">IFERROR(__xludf.DUMMYFUNCTION("""COMPUTED_VALUE"""),"學生姓名3")</f>
        <v>學生姓名3</v>
      </c>
      <c r="F1" s="1" t="str">
        <f ca="1">IFERROR(__xludf.DUMMYFUNCTION("""COMPUTED_VALUE"""),"學生姓名4")</f>
        <v>學生姓名4</v>
      </c>
      <c r="G1" s="1" t="str">
        <f ca="1">IFERROR(__xludf.DUMMYFUNCTION("""COMPUTED_VALUE"""),"學生姓名5")</f>
        <v>學生姓名5</v>
      </c>
      <c r="H1" s="1"/>
      <c r="I1" s="1"/>
      <c r="J1" s="1"/>
      <c r="L1" s="3" t="s">
        <v>260</v>
      </c>
    </row>
    <row r="2" spans="1:12" x14ac:dyDescent="0.2">
      <c r="A2" s="1" t="str">
        <f ca="1">IFERROR(__xludf.DUMMYFUNCTION("""COMPUTED_VALUE"""),"六")</f>
        <v>六</v>
      </c>
      <c r="B2" s="1">
        <f ca="1">IFERROR(__xludf.DUMMYFUNCTION("""COMPUTED_VALUE"""),7)</f>
        <v>7</v>
      </c>
      <c r="C2" s="1" t="str">
        <f ca="1">IFERROR(__xludf.DUMMYFUNCTION("""COMPUTED_VALUE"""),"蔡宇銨")</f>
        <v>蔡宇銨</v>
      </c>
      <c r="D2" s="1" t="str">
        <f ca="1">IFERROR(__xludf.DUMMYFUNCTION("""COMPUTED_VALUE"""),"徐瑋承")</f>
        <v>徐瑋承</v>
      </c>
      <c r="E2" s="1" t="str">
        <f ca="1">IFERROR(__xludf.DUMMYFUNCTION("""COMPUTED_VALUE"""),"魏沅𦵴")</f>
        <v>魏沅𦵴</v>
      </c>
      <c r="F2" s="1" t="str">
        <f ca="1">IFERROR(__xludf.DUMMYFUNCTION("""COMPUTED_VALUE"""),"陳芊妘")</f>
        <v>陳芊妘</v>
      </c>
      <c r="G2" s="1" t="str">
        <f ca="1">IFERROR(__xludf.DUMMYFUNCTION("""COMPUTED_VALUE"""),"林靖恩")</f>
        <v>林靖恩</v>
      </c>
      <c r="H2" s="1"/>
      <c r="I2" s="1"/>
      <c r="J2" s="1"/>
      <c r="L2" s="1" t="str">
        <f t="shared" ref="L2:L128" ca="1" si="0">A2&amp;B2</f>
        <v>六7</v>
      </c>
    </row>
    <row r="3" spans="1:12" x14ac:dyDescent="0.2">
      <c r="A3" s="1" t="str">
        <f ca="1">IFERROR(__xludf.DUMMYFUNCTION("""COMPUTED_VALUE"""),"六")</f>
        <v>六</v>
      </c>
      <c r="B3" s="1">
        <f ca="1">IFERROR(__xludf.DUMMYFUNCTION("""COMPUTED_VALUE"""),6)</f>
        <v>6</v>
      </c>
      <c r="C3" s="1" t="str">
        <f ca="1">IFERROR(__xludf.DUMMYFUNCTION("""COMPUTED_VALUE"""),"簡翊庭")</f>
        <v>簡翊庭</v>
      </c>
      <c r="D3" s="1" t="str">
        <f ca="1">IFERROR(__xludf.DUMMYFUNCTION("""COMPUTED_VALUE"""),"官庭佑")</f>
        <v>官庭佑</v>
      </c>
      <c r="E3" s="1" t="str">
        <f ca="1">IFERROR(__xludf.DUMMYFUNCTION("""COMPUTED_VALUE"""),"蔡雁婷")</f>
        <v>蔡雁婷</v>
      </c>
      <c r="F3" s="1" t="str">
        <f ca="1">IFERROR(__xludf.DUMMYFUNCTION("""COMPUTED_VALUE"""),"曹至廷")</f>
        <v>曹至廷</v>
      </c>
      <c r="G3" s="1" t="str">
        <f ca="1">IFERROR(__xludf.DUMMYFUNCTION("""COMPUTED_VALUE"""),"徐振泓")</f>
        <v>徐振泓</v>
      </c>
      <c r="H3" s="1"/>
      <c r="I3" s="1"/>
      <c r="J3" s="1"/>
      <c r="L3" s="1" t="str">
        <f t="shared" ca="1" si="0"/>
        <v>六6</v>
      </c>
    </row>
    <row r="4" spans="1:12" x14ac:dyDescent="0.2">
      <c r="A4" s="1" t="str">
        <f ca="1">IFERROR(__xludf.DUMMYFUNCTION("""COMPUTED_VALUE"""),"三")</f>
        <v>三</v>
      </c>
      <c r="B4" s="1">
        <f ca="1">IFERROR(__xludf.DUMMYFUNCTION("""COMPUTED_VALUE"""),11)</f>
        <v>11</v>
      </c>
      <c r="C4" s="1" t="str">
        <f ca="1">IFERROR(__xludf.DUMMYFUNCTION("""COMPUTED_VALUE"""),"許以澔")</f>
        <v>許以澔</v>
      </c>
      <c r="D4" s="1" t="str">
        <f ca="1">IFERROR(__xludf.DUMMYFUNCTION("""COMPUTED_VALUE"""),"楊詠甯")</f>
        <v>楊詠甯</v>
      </c>
      <c r="E4" s="1" t="str">
        <f ca="1">IFERROR(__xludf.DUMMYFUNCTION("""COMPUTED_VALUE"""),"孔湘寧")</f>
        <v>孔湘寧</v>
      </c>
      <c r="F4" s="1" t="str">
        <f ca="1">IFERROR(__xludf.DUMMYFUNCTION("""COMPUTED_VALUE"""),"李浚瑀")</f>
        <v>李浚瑀</v>
      </c>
      <c r="G4" s="1" t="str">
        <f ca="1">IFERROR(__xludf.DUMMYFUNCTION("""COMPUTED_VALUE"""),"田昱霖")</f>
        <v>田昱霖</v>
      </c>
      <c r="H4" s="1"/>
      <c r="I4" s="1"/>
      <c r="J4" s="1"/>
      <c r="L4" s="1" t="str">
        <f t="shared" ca="1" si="0"/>
        <v>三11</v>
      </c>
    </row>
    <row r="5" spans="1:12" x14ac:dyDescent="0.2">
      <c r="A5" s="1" t="str">
        <f ca="1">IFERROR(__xludf.DUMMYFUNCTION("""COMPUTED_VALUE"""),"三")</f>
        <v>三</v>
      </c>
      <c r="B5" s="1">
        <f ca="1">IFERROR(__xludf.DUMMYFUNCTION("""COMPUTED_VALUE"""),10)</f>
        <v>10</v>
      </c>
      <c r="C5" s="1" t="str">
        <f ca="1">IFERROR(__xludf.DUMMYFUNCTION("""COMPUTED_VALUE"""),"陳柏嘉")</f>
        <v>陳柏嘉</v>
      </c>
      <c r="D5" s="1" t="str">
        <f ca="1">IFERROR(__xludf.DUMMYFUNCTION("""COMPUTED_VALUE"""),"劉易澈")</f>
        <v>劉易澈</v>
      </c>
      <c r="E5" s="1" t="str">
        <f ca="1">IFERROR(__xludf.DUMMYFUNCTION("""COMPUTED_VALUE"""),"趙詠妍")</f>
        <v>趙詠妍</v>
      </c>
      <c r="F5" s="1" t="str">
        <f ca="1">IFERROR(__xludf.DUMMYFUNCTION("""COMPUTED_VALUE"""),"郭晅孜")</f>
        <v>郭晅孜</v>
      </c>
      <c r="G5" s="1" t="str">
        <f ca="1">IFERROR(__xludf.DUMMYFUNCTION("""COMPUTED_VALUE"""),"張以樂")</f>
        <v>張以樂</v>
      </c>
      <c r="H5" s="1"/>
      <c r="I5" s="1"/>
      <c r="J5" s="1"/>
      <c r="L5" s="1" t="str">
        <f t="shared" ca="1" si="0"/>
        <v>三10</v>
      </c>
    </row>
    <row r="6" spans="1:12" x14ac:dyDescent="0.2">
      <c r="A6" s="1" t="str">
        <f ca="1">IFERROR(__xludf.DUMMYFUNCTION("""COMPUTED_VALUE"""),"三")</f>
        <v>三</v>
      </c>
      <c r="B6" s="1">
        <f ca="1">IFERROR(__xludf.DUMMYFUNCTION("""COMPUTED_VALUE"""),12)</f>
        <v>12</v>
      </c>
      <c r="C6" s="1" t="str">
        <f ca="1">IFERROR(__xludf.DUMMYFUNCTION("""COMPUTED_VALUE"""),"徐立杰")</f>
        <v>徐立杰</v>
      </c>
      <c r="D6" s="1" t="str">
        <f ca="1">IFERROR(__xludf.DUMMYFUNCTION("""COMPUTED_VALUE"""),"王梓懷")</f>
        <v>王梓懷</v>
      </c>
      <c r="E6" s="1" t="str">
        <f ca="1">IFERROR(__xludf.DUMMYFUNCTION("""COMPUTED_VALUE"""),"簡葶安")</f>
        <v>簡葶安</v>
      </c>
      <c r="F6" s="1" t="str">
        <f ca="1">IFERROR(__xludf.DUMMYFUNCTION("""COMPUTED_VALUE"""),"陳羽樂")</f>
        <v>陳羽樂</v>
      </c>
      <c r="G6" s="1" t="str">
        <f ca="1">IFERROR(__xludf.DUMMYFUNCTION("""COMPUTED_VALUE"""),"葉爰圻")</f>
        <v>葉爰圻</v>
      </c>
      <c r="H6" s="1"/>
      <c r="I6" s="1"/>
      <c r="J6" s="1"/>
      <c r="L6" s="1" t="str">
        <f t="shared" ca="1" si="0"/>
        <v>三12</v>
      </c>
    </row>
    <row r="7" spans="1:12" x14ac:dyDescent="0.2">
      <c r="A7" s="1" t="str">
        <f ca="1">IFERROR(__xludf.DUMMYFUNCTION("""COMPUTED_VALUE"""),"四")</f>
        <v>四</v>
      </c>
      <c r="B7" s="1">
        <f ca="1">IFERROR(__xludf.DUMMYFUNCTION("""COMPUTED_VALUE"""),3)</f>
        <v>3</v>
      </c>
      <c r="C7" s="1" t="str">
        <f ca="1">IFERROR(__xludf.DUMMYFUNCTION("""COMPUTED_VALUE"""),"林于捷")</f>
        <v>林于捷</v>
      </c>
      <c r="D7" s="1" t="str">
        <f ca="1">IFERROR(__xludf.DUMMYFUNCTION("""COMPUTED_VALUE"""),"洪憶忻")</f>
        <v>洪憶忻</v>
      </c>
      <c r="E7" s="1" t="str">
        <f ca="1">IFERROR(__xludf.DUMMYFUNCTION("""COMPUTED_VALUE"""),"林宸昊")</f>
        <v>林宸昊</v>
      </c>
      <c r="F7" s="1" t="str">
        <f ca="1">IFERROR(__xludf.DUMMYFUNCTION("""COMPUTED_VALUE"""),"賴亭諭")</f>
        <v>賴亭諭</v>
      </c>
      <c r="G7" s="1" t="str">
        <f ca="1">IFERROR(__xludf.DUMMYFUNCTION("""COMPUTED_VALUE"""),"王紫綸")</f>
        <v>王紫綸</v>
      </c>
      <c r="H7" s="1"/>
      <c r="I7" s="1"/>
      <c r="J7" s="1"/>
      <c r="L7" s="1" t="str">
        <f t="shared" ca="1" si="0"/>
        <v>四3</v>
      </c>
    </row>
    <row r="8" spans="1:12" x14ac:dyDescent="0.2">
      <c r="A8" s="1" t="str">
        <f ca="1">IFERROR(__xludf.DUMMYFUNCTION("""COMPUTED_VALUE"""),"三")</f>
        <v>三</v>
      </c>
      <c r="B8" s="1">
        <f ca="1">IFERROR(__xludf.DUMMYFUNCTION("""COMPUTED_VALUE"""),6)</f>
        <v>6</v>
      </c>
      <c r="C8" s="1" t="str">
        <f ca="1">IFERROR(__xludf.DUMMYFUNCTION("""COMPUTED_VALUE"""),"鄧祺勳")</f>
        <v>鄧祺勳</v>
      </c>
      <c r="D8" s="1" t="str">
        <f ca="1">IFERROR(__xludf.DUMMYFUNCTION("""COMPUTED_VALUE"""),"林子晴")</f>
        <v>林子晴</v>
      </c>
      <c r="E8" s="1" t="str">
        <f ca="1">IFERROR(__xludf.DUMMYFUNCTION("""COMPUTED_VALUE"""),"詹儷鳳")</f>
        <v>詹儷鳳</v>
      </c>
      <c r="F8" s="1" t="str">
        <f ca="1">IFERROR(__xludf.DUMMYFUNCTION("""COMPUTED_VALUE"""),"詹鎧緁")</f>
        <v>詹鎧緁</v>
      </c>
      <c r="G8" s="1" t="str">
        <f ca="1">IFERROR(__xludf.DUMMYFUNCTION("""COMPUTED_VALUE"""),"吳承軒")</f>
        <v>吳承軒</v>
      </c>
      <c r="H8" s="1"/>
      <c r="I8" s="1"/>
      <c r="J8" s="1"/>
      <c r="L8" s="1" t="str">
        <f t="shared" ca="1" si="0"/>
        <v>三6</v>
      </c>
    </row>
    <row r="9" spans="1:12" x14ac:dyDescent="0.2">
      <c r="A9" s="1" t="str">
        <f ca="1">IFERROR(__xludf.DUMMYFUNCTION("""COMPUTED_VALUE"""),"三")</f>
        <v>三</v>
      </c>
      <c r="B9" s="1">
        <f ca="1">IFERROR(__xludf.DUMMYFUNCTION("""COMPUTED_VALUE"""),1)</f>
        <v>1</v>
      </c>
      <c r="C9" s="1" t="str">
        <f ca="1">IFERROR(__xludf.DUMMYFUNCTION("""COMPUTED_VALUE"""),"李玥樂")</f>
        <v>李玥樂</v>
      </c>
      <c r="D9" s="1" t="str">
        <f ca="1">IFERROR(__xludf.DUMMYFUNCTION("""COMPUTED_VALUE"""),"陳品妘")</f>
        <v>陳品妘</v>
      </c>
      <c r="E9" s="1" t="str">
        <f ca="1">IFERROR(__xludf.DUMMYFUNCTION("""COMPUTED_VALUE"""),"簡郁蓁")</f>
        <v>簡郁蓁</v>
      </c>
      <c r="F9" s="1" t="str">
        <f ca="1">IFERROR(__xludf.DUMMYFUNCTION("""COMPUTED_VALUE"""),"黃允柔")</f>
        <v>黃允柔</v>
      </c>
      <c r="G9" s="1" t="str">
        <f ca="1">IFERROR(__xludf.DUMMYFUNCTION("""COMPUTED_VALUE"""),"鍾奇家")</f>
        <v>鍾奇家</v>
      </c>
      <c r="H9" s="1"/>
      <c r="I9" s="1"/>
      <c r="J9" s="1"/>
      <c r="L9" s="1" t="str">
        <f t="shared" ca="1" si="0"/>
        <v>三1</v>
      </c>
    </row>
    <row r="10" spans="1:12" x14ac:dyDescent="0.2">
      <c r="A10" s="1" t="str">
        <f ca="1">IFERROR(__xludf.DUMMYFUNCTION("""COMPUTED_VALUE"""),"三")</f>
        <v>三</v>
      </c>
      <c r="B10" s="1">
        <f ca="1">IFERROR(__xludf.DUMMYFUNCTION("""COMPUTED_VALUE"""),4)</f>
        <v>4</v>
      </c>
      <c r="C10" s="1" t="str">
        <f ca="1">IFERROR(__xludf.DUMMYFUNCTION("""COMPUTED_VALUE"""),"佟安晴")</f>
        <v>佟安晴</v>
      </c>
      <c r="D10" s="1" t="str">
        <f ca="1">IFERROR(__xludf.DUMMYFUNCTION("""COMPUTED_VALUE"""),"江綺恩")</f>
        <v>江綺恩</v>
      </c>
      <c r="E10" s="1" t="str">
        <f ca="1">IFERROR(__xludf.DUMMYFUNCTION("""COMPUTED_VALUE"""),"吳姵澄")</f>
        <v>吳姵澄</v>
      </c>
      <c r="F10" s="1" t="str">
        <f ca="1">IFERROR(__xludf.DUMMYFUNCTION("""COMPUTED_VALUE"""),"謝雨恬")</f>
        <v>謝雨恬</v>
      </c>
      <c r="G10" s="1" t="str">
        <f ca="1">IFERROR(__xludf.DUMMYFUNCTION("""COMPUTED_VALUE"""),"陳炘妤")</f>
        <v>陳炘妤</v>
      </c>
      <c r="H10" s="1"/>
      <c r="I10" s="1"/>
      <c r="J10" s="1"/>
      <c r="L10" s="1" t="str">
        <f t="shared" ca="1" si="0"/>
        <v>三4</v>
      </c>
    </row>
    <row r="11" spans="1:12" x14ac:dyDescent="0.2">
      <c r="A11" s="1" t="str">
        <f ca="1">IFERROR(__xludf.DUMMYFUNCTION("""COMPUTED_VALUE"""),"六")</f>
        <v>六</v>
      </c>
      <c r="B11" s="1">
        <f ca="1">IFERROR(__xludf.DUMMYFUNCTION("""COMPUTED_VALUE"""),8)</f>
        <v>8</v>
      </c>
      <c r="C11" s="1" t="str">
        <f ca="1">IFERROR(__xludf.DUMMYFUNCTION("""COMPUTED_VALUE"""),"張妡語")</f>
        <v>張妡語</v>
      </c>
      <c r="D11" s="1" t="str">
        <f ca="1">IFERROR(__xludf.DUMMYFUNCTION("""COMPUTED_VALUE"""),"陳昀貞")</f>
        <v>陳昀貞</v>
      </c>
      <c r="E11" s="1" t="str">
        <f ca="1">IFERROR(__xludf.DUMMYFUNCTION("""COMPUTED_VALUE"""),"林芝妍")</f>
        <v>林芝妍</v>
      </c>
      <c r="F11" s="1" t="str">
        <f ca="1">IFERROR(__xludf.DUMMYFUNCTION("""COMPUTED_VALUE"""),"李羚羚")</f>
        <v>李羚羚</v>
      </c>
      <c r="G11" s="1" t="str">
        <f ca="1">IFERROR(__xludf.DUMMYFUNCTION("""COMPUTED_VALUE"""),"童鈺恩")</f>
        <v>童鈺恩</v>
      </c>
      <c r="H11" s="1"/>
      <c r="I11" s="1"/>
      <c r="J11" s="1"/>
      <c r="L11" s="1" t="str">
        <f t="shared" ca="1" si="0"/>
        <v>六8</v>
      </c>
    </row>
    <row r="12" spans="1:12" x14ac:dyDescent="0.2">
      <c r="A12" s="1" t="str">
        <f ca="1">IFERROR(__xludf.DUMMYFUNCTION("""COMPUTED_VALUE"""),"四")</f>
        <v>四</v>
      </c>
      <c r="B12" s="1">
        <f ca="1">IFERROR(__xludf.DUMMYFUNCTION("""COMPUTED_VALUE"""),7)</f>
        <v>7</v>
      </c>
      <c r="C12" s="1" t="str">
        <f ca="1">IFERROR(__xludf.DUMMYFUNCTION("""COMPUTED_VALUE"""),"郭綺芸")</f>
        <v>郭綺芸</v>
      </c>
      <c r="D12" s="1" t="str">
        <f ca="1">IFERROR(__xludf.DUMMYFUNCTION("""COMPUTED_VALUE"""),"林郁晨")</f>
        <v>林郁晨</v>
      </c>
      <c r="E12" s="1" t="str">
        <f ca="1">IFERROR(__xludf.DUMMYFUNCTION("""COMPUTED_VALUE"""),"陳廷洛")</f>
        <v>陳廷洛</v>
      </c>
      <c r="F12" s="1" t="str">
        <f ca="1">IFERROR(__xludf.DUMMYFUNCTION("""COMPUTED_VALUE"""),"李少白")</f>
        <v>李少白</v>
      </c>
      <c r="G12" s="1" t="str">
        <f ca="1">IFERROR(__xludf.DUMMYFUNCTION("""COMPUTED_VALUE"""),"李尚磊")</f>
        <v>李尚磊</v>
      </c>
      <c r="H12" s="1" t="str">
        <f ca="1">IFERROR(__xludf.DUMMYFUNCTION("""COMPUTED_VALUE"""),"姜安宇")</f>
        <v>姜安宇</v>
      </c>
      <c r="I12" s="1" t="str">
        <f ca="1">IFERROR(__xludf.DUMMYFUNCTION("""COMPUTED_VALUE"""),"李聖杰")</f>
        <v>李聖杰</v>
      </c>
      <c r="J12" s="1"/>
      <c r="L12" s="1" t="str">
        <f t="shared" ca="1" si="0"/>
        <v>四7</v>
      </c>
    </row>
    <row r="13" spans="1:12" x14ac:dyDescent="0.2">
      <c r="A13" s="1" t="str">
        <f ca="1">IFERROR(__xludf.DUMMYFUNCTION("""COMPUTED_VALUE"""),"四")</f>
        <v>四</v>
      </c>
      <c r="B13" s="1">
        <f ca="1">IFERROR(__xludf.DUMMYFUNCTION("""COMPUTED_VALUE"""),6)</f>
        <v>6</v>
      </c>
      <c r="C13" s="1" t="str">
        <f ca="1">IFERROR(__xludf.DUMMYFUNCTION("""COMPUTED_VALUE"""),"田渤琇")</f>
        <v>田渤琇</v>
      </c>
      <c r="D13" s="1" t="str">
        <f ca="1">IFERROR(__xludf.DUMMYFUNCTION("""COMPUTED_VALUE"""),"王丞洋")</f>
        <v>王丞洋</v>
      </c>
      <c r="E13" s="1" t="str">
        <f ca="1">IFERROR(__xludf.DUMMYFUNCTION("""COMPUTED_VALUE"""),"蔡武諺")</f>
        <v>蔡武諺</v>
      </c>
      <c r="F13" s="1" t="str">
        <f ca="1">IFERROR(__xludf.DUMMYFUNCTION("""COMPUTED_VALUE"""),"黃心澄")</f>
        <v>黃心澄</v>
      </c>
      <c r="G13" s="1" t="str">
        <f ca="1">IFERROR(__xludf.DUMMYFUNCTION("""COMPUTED_VALUE"""),"王晨希")</f>
        <v>王晨希</v>
      </c>
      <c r="H13" s="1"/>
      <c r="I13" s="1"/>
      <c r="J13" s="1"/>
      <c r="L13" s="1" t="str">
        <f t="shared" ca="1" si="0"/>
        <v>四6</v>
      </c>
    </row>
    <row r="14" spans="1:12" x14ac:dyDescent="0.2">
      <c r="A14" s="1" t="str">
        <f ca="1">IFERROR(__xludf.DUMMYFUNCTION("""COMPUTED_VALUE"""),"五")</f>
        <v>五</v>
      </c>
      <c r="B14" s="1">
        <f ca="1">IFERROR(__xludf.DUMMYFUNCTION("""COMPUTED_VALUE"""),5)</f>
        <v>5</v>
      </c>
      <c r="C14" s="1" t="str">
        <f ca="1">IFERROR(__xludf.DUMMYFUNCTION("""COMPUTED_VALUE"""),"林婕妤")</f>
        <v>林婕妤</v>
      </c>
      <c r="D14" s="1" t="str">
        <f ca="1">IFERROR(__xludf.DUMMYFUNCTION("""COMPUTED_VALUE"""),"李宥朋")</f>
        <v>李宥朋</v>
      </c>
      <c r="E14" s="1" t="str">
        <f ca="1">IFERROR(__xludf.DUMMYFUNCTION("""COMPUTED_VALUE"""),"陳芯琳")</f>
        <v>陳芯琳</v>
      </c>
      <c r="F14" s="1" t="str">
        <f ca="1">IFERROR(__xludf.DUMMYFUNCTION("""COMPUTED_VALUE"""),"謝育愷")</f>
        <v>謝育愷</v>
      </c>
      <c r="G14" s="1" t="str">
        <f ca="1">IFERROR(__xludf.DUMMYFUNCTION("""COMPUTED_VALUE"""),"王瑜應")</f>
        <v>王瑜應</v>
      </c>
      <c r="H14" s="1"/>
      <c r="I14" s="1"/>
      <c r="J14" s="1"/>
      <c r="L14" s="1" t="str">
        <f t="shared" ca="1" si="0"/>
        <v>五5</v>
      </c>
    </row>
    <row r="15" spans="1:12" x14ac:dyDescent="0.2">
      <c r="A15" s="1" t="str">
        <f ca="1">IFERROR(__xludf.DUMMYFUNCTION("""COMPUTED_VALUE"""),"五")</f>
        <v>五</v>
      </c>
      <c r="B15" s="1">
        <f ca="1">IFERROR(__xludf.DUMMYFUNCTION("""COMPUTED_VALUE"""),7)</f>
        <v>7</v>
      </c>
      <c r="C15" s="1" t="str">
        <f ca="1">IFERROR(__xludf.DUMMYFUNCTION("""COMPUTED_VALUE"""),"劉宣妤")</f>
        <v>劉宣妤</v>
      </c>
      <c r="D15" s="1" t="str">
        <f ca="1">IFERROR(__xludf.DUMMYFUNCTION("""COMPUTED_VALUE"""),"徐婕純")</f>
        <v>徐婕純</v>
      </c>
      <c r="E15" s="1" t="str">
        <f ca="1">IFERROR(__xludf.DUMMYFUNCTION("""COMPUTED_VALUE"""),"胡予涵")</f>
        <v>胡予涵</v>
      </c>
      <c r="F15" s="1" t="str">
        <f ca="1">IFERROR(__xludf.DUMMYFUNCTION("""COMPUTED_VALUE"""),"陳琬琪")</f>
        <v>陳琬琪</v>
      </c>
      <c r="G15" s="1" t="str">
        <f ca="1">IFERROR(__xludf.DUMMYFUNCTION("""COMPUTED_VALUE"""),"杜旻烜")</f>
        <v>杜旻烜</v>
      </c>
      <c r="H15" s="1"/>
      <c r="I15" s="1"/>
      <c r="J15" s="1"/>
      <c r="L15" s="1" t="str">
        <f t="shared" ca="1" si="0"/>
        <v>五7</v>
      </c>
    </row>
    <row r="16" spans="1:12" x14ac:dyDescent="0.2">
      <c r="A16" s="1" t="str">
        <f ca="1">IFERROR(__xludf.DUMMYFUNCTION("""COMPUTED_VALUE"""),"三")</f>
        <v>三</v>
      </c>
      <c r="B16" s="1">
        <f ca="1">IFERROR(__xludf.DUMMYFUNCTION("""COMPUTED_VALUE"""),9)</f>
        <v>9</v>
      </c>
      <c r="C16" s="1" t="str">
        <f ca="1">IFERROR(__xludf.DUMMYFUNCTION("""COMPUTED_VALUE"""),"吳秉叡")</f>
        <v>吳秉叡</v>
      </c>
      <c r="D16" s="1" t="str">
        <f ca="1">IFERROR(__xludf.DUMMYFUNCTION("""COMPUTED_VALUE"""),"邱奕學")</f>
        <v>邱奕學</v>
      </c>
      <c r="E16" s="1" t="str">
        <f ca="1">IFERROR(__xludf.DUMMYFUNCTION("""COMPUTED_VALUE"""),"林書緹")</f>
        <v>林書緹</v>
      </c>
      <c r="F16" s="1" t="str">
        <f ca="1">IFERROR(__xludf.DUMMYFUNCTION("""COMPUTED_VALUE"""),"莊心妍")</f>
        <v>莊心妍</v>
      </c>
      <c r="G16" s="1" t="str">
        <f ca="1">IFERROR(__xludf.DUMMYFUNCTION("""COMPUTED_VALUE"""),"李芮瑪")</f>
        <v>李芮瑪</v>
      </c>
      <c r="H16" s="1"/>
      <c r="I16" s="1"/>
      <c r="J16" s="1"/>
      <c r="L16" s="1" t="str">
        <f t="shared" ca="1" si="0"/>
        <v>三9</v>
      </c>
    </row>
    <row r="17" spans="1:12" x14ac:dyDescent="0.2">
      <c r="A17" s="1" t="str">
        <f ca="1">IFERROR(__xludf.DUMMYFUNCTION("""COMPUTED_VALUE"""),"六")</f>
        <v>六</v>
      </c>
      <c r="B17" s="1">
        <f ca="1">IFERROR(__xludf.DUMMYFUNCTION("""COMPUTED_VALUE"""),2)</f>
        <v>2</v>
      </c>
      <c r="C17" s="1" t="str">
        <f ca="1">IFERROR(__xludf.DUMMYFUNCTION("""COMPUTED_VALUE"""),"周沛穎")</f>
        <v>周沛穎</v>
      </c>
      <c r="D17" s="1" t="str">
        <f ca="1">IFERROR(__xludf.DUMMYFUNCTION("""COMPUTED_VALUE"""),"鄧丞妤")</f>
        <v>鄧丞妤</v>
      </c>
      <c r="E17" s="1" t="str">
        <f ca="1">IFERROR(__xludf.DUMMYFUNCTION("""COMPUTED_VALUE"""),"李谷凌")</f>
        <v>李谷凌</v>
      </c>
      <c r="F17" s="1" t="str">
        <f ca="1">IFERROR(__xludf.DUMMYFUNCTION("""COMPUTED_VALUE"""),"楊禾羽")</f>
        <v>楊禾羽</v>
      </c>
      <c r="G17" s="1" t="str">
        <f ca="1">IFERROR(__xludf.DUMMYFUNCTION("""COMPUTED_VALUE"""),"施安㚬 ")</f>
        <v xml:space="preserve">施安㚬 </v>
      </c>
      <c r="H17" s="1"/>
      <c r="I17" s="1"/>
      <c r="J17" s="1"/>
      <c r="L17" s="1" t="str">
        <f t="shared" ca="1" si="0"/>
        <v>六2</v>
      </c>
    </row>
    <row r="18" spans="1:12" x14ac:dyDescent="0.2">
      <c r="A18" s="1" t="str">
        <f ca="1">IFERROR(__xludf.DUMMYFUNCTION("""COMPUTED_VALUE"""),"四")</f>
        <v>四</v>
      </c>
      <c r="B18" s="1">
        <f ca="1">IFERROR(__xludf.DUMMYFUNCTION("""COMPUTED_VALUE"""),11)</f>
        <v>11</v>
      </c>
      <c r="C18" s="1" t="str">
        <f ca="1">IFERROR(__xludf.DUMMYFUNCTION("""COMPUTED_VALUE"""),"吳政憲")</f>
        <v>吳政憲</v>
      </c>
      <c r="D18" s="1" t="str">
        <f ca="1">IFERROR(__xludf.DUMMYFUNCTION("""COMPUTED_VALUE"""),"侯伯昌")</f>
        <v>侯伯昌</v>
      </c>
      <c r="E18" s="1" t="str">
        <f ca="1">IFERROR(__xludf.DUMMYFUNCTION("""COMPUTED_VALUE"""),"彭澄菩")</f>
        <v>彭澄菩</v>
      </c>
      <c r="F18" s="1" t="str">
        <f ca="1">IFERROR(__xludf.DUMMYFUNCTION("""COMPUTED_VALUE"""),"游登媄")</f>
        <v>游登媄</v>
      </c>
      <c r="G18" s="1" t="str">
        <f ca="1">IFERROR(__xludf.DUMMYFUNCTION("""COMPUTED_VALUE"""),"朱秀庭")</f>
        <v>朱秀庭</v>
      </c>
      <c r="H18" s="1"/>
      <c r="I18" s="1"/>
      <c r="J18" s="1"/>
      <c r="L18" s="1" t="str">
        <f t="shared" ca="1" si="0"/>
        <v>四11</v>
      </c>
    </row>
    <row r="19" spans="1:12" x14ac:dyDescent="0.2">
      <c r="A19" s="1" t="str">
        <f ca="1">IFERROR(__xludf.DUMMYFUNCTION("""COMPUTED_VALUE"""),"三")</f>
        <v>三</v>
      </c>
      <c r="B19" s="1">
        <f ca="1">IFERROR(__xludf.DUMMYFUNCTION("""COMPUTED_VALUE"""),9)</f>
        <v>9</v>
      </c>
      <c r="C19" s="1" t="str">
        <f ca="1">IFERROR(__xludf.DUMMYFUNCTION("""COMPUTED_VALUE"""),"吳秉叡")</f>
        <v>吳秉叡</v>
      </c>
      <c r="D19" s="1" t="str">
        <f ca="1">IFERROR(__xludf.DUMMYFUNCTION("""COMPUTED_VALUE"""),"邱奕學")</f>
        <v>邱奕學</v>
      </c>
      <c r="E19" s="1" t="str">
        <f ca="1">IFERROR(__xludf.DUMMYFUNCTION("""COMPUTED_VALUE"""),"林書緹")</f>
        <v>林書緹</v>
      </c>
      <c r="F19" s="1" t="str">
        <f ca="1">IFERROR(__xludf.DUMMYFUNCTION("""COMPUTED_VALUE"""),"莊心妍")</f>
        <v>莊心妍</v>
      </c>
      <c r="G19" s="1" t="str">
        <f ca="1">IFERROR(__xludf.DUMMYFUNCTION("""COMPUTED_VALUE"""),"李芮瑪")</f>
        <v>李芮瑪</v>
      </c>
      <c r="H19" s="1"/>
      <c r="I19" s="1"/>
      <c r="J19" s="1"/>
      <c r="L19" s="1" t="str">
        <f t="shared" ca="1" si="0"/>
        <v>三9</v>
      </c>
    </row>
    <row r="20" spans="1:12" x14ac:dyDescent="0.2">
      <c r="A20" s="1" t="str">
        <f ca="1">IFERROR(__xludf.DUMMYFUNCTION("""COMPUTED_VALUE"""),"五")</f>
        <v>五</v>
      </c>
      <c r="B20" s="1">
        <f ca="1">IFERROR(__xludf.DUMMYFUNCTION("""COMPUTED_VALUE"""),4)</f>
        <v>4</v>
      </c>
      <c r="C20" s="1" t="str">
        <f ca="1">IFERROR(__xludf.DUMMYFUNCTION("""COMPUTED_VALUE"""),"黃世竣")</f>
        <v>黃世竣</v>
      </c>
      <c r="D20" s="1" t="str">
        <f ca="1">IFERROR(__xludf.DUMMYFUNCTION("""COMPUTED_VALUE"""),"鄭詠心")</f>
        <v>鄭詠心</v>
      </c>
      <c r="E20" s="1" t="str">
        <f ca="1">IFERROR(__xludf.DUMMYFUNCTION("""COMPUTED_VALUE"""),"胡振鈴")</f>
        <v>胡振鈴</v>
      </c>
      <c r="F20" s="1" t="str">
        <f ca="1">IFERROR(__xludf.DUMMYFUNCTION("""COMPUTED_VALUE"""),"李芸萍")</f>
        <v>李芸萍</v>
      </c>
      <c r="G20" s="1" t="str">
        <f ca="1">IFERROR(__xludf.DUMMYFUNCTION("""COMPUTED_VALUE"""),"陳守辰")</f>
        <v>陳守辰</v>
      </c>
      <c r="H20" s="1"/>
      <c r="I20" s="1"/>
      <c r="J20" s="1"/>
      <c r="L20" s="1" t="str">
        <f t="shared" ca="1" si="0"/>
        <v>五4</v>
      </c>
    </row>
    <row r="21" spans="1:12" x14ac:dyDescent="0.2">
      <c r="A21" s="1" t="str">
        <f ca="1">IFERROR(__xludf.DUMMYFUNCTION("""COMPUTED_VALUE"""),"四")</f>
        <v>四</v>
      </c>
      <c r="B21" s="1">
        <f ca="1">IFERROR(__xludf.DUMMYFUNCTION("""COMPUTED_VALUE"""),1)</f>
        <v>1</v>
      </c>
      <c r="C21" s="1" t="str">
        <f ca="1">IFERROR(__xludf.DUMMYFUNCTION("""COMPUTED_VALUE"""),"周采葳")</f>
        <v>周采葳</v>
      </c>
      <c r="D21" s="1" t="str">
        <f ca="1">IFERROR(__xludf.DUMMYFUNCTION("""COMPUTED_VALUE"""),"李友耘")</f>
        <v>李友耘</v>
      </c>
      <c r="E21" s="1" t="str">
        <f ca="1">IFERROR(__xludf.DUMMYFUNCTION("""COMPUTED_VALUE"""),"賴宥羽")</f>
        <v>賴宥羽</v>
      </c>
      <c r="F21" s="1" t="str">
        <f ca="1">IFERROR(__xludf.DUMMYFUNCTION("""COMPUTED_VALUE"""),"王靖婷")</f>
        <v>王靖婷</v>
      </c>
      <c r="G21" s="1" t="str">
        <f ca="1">IFERROR(__xludf.DUMMYFUNCTION("""COMPUTED_VALUE"""),"陳瑜心")</f>
        <v>陳瑜心</v>
      </c>
      <c r="H21" s="1"/>
      <c r="I21" s="1"/>
      <c r="J21" s="1"/>
      <c r="L21" s="1" t="str">
        <f t="shared" ca="1" si="0"/>
        <v>四1</v>
      </c>
    </row>
    <row r="22" spans="1:12" x14ac:dyDescent="0.2">
      <c r="A22" s="1" t="str">
        <f ca="1">IFERROR(__xludf.DUMMYFUNCTION("""COMPUTED_VALUE"""),"五")</f>
        <v>五</v>
      </c>
      <c r="B22" s="1">
        <f ca="1">IFERROR(__xludf.DUMMYFUNCTION("""COMPUTED_VALUE"""),7)</f>
        <v>7</v>
      </c>
      <c r="C22" s="1" t="str">
        <f ca="1">IFERROR(__xludf.DUMMYFUNCTION("""COMPUTED_VALUE"""),"劉宣妤")</f>
        <v>劉宣妤</v>
      </c>
      <c r="D22" s="1" t="str">
        <f ca="1">IFERROR(__xludf.DUMMYFUNCTION("""COMPUTED_VALUE"""),"徐婕純")</f>
        <v>徐婕純</v>
      </c>
      <c r="E22" s="1" t="str">
        <f ca="1">IFERROR(__xludf.DUMMYFUNCTION("""COMPUTED_VALUE"""),"胡予涵")</f>
        <v>胡予涵</v>
      </c>
      <c r="F22" s="1" t="str">
        <f ca="1">IFERROR(__xludf.DUMMYFUNCTION("""COMPUTED_VALUE"""),"陳琬琪")</f>
        <v>陳琬琪</v>
      </c>
      <c r="G22" s="1" t="str">
        <f ca="1">IFERROR(__xludf.DUMMYFUNCTION("""COMPUTED_VALUE"""),"杜旻烜")</f>
        <v>杜旻烜</v>
      </c>
      <c r="H22" s="1"/>
      <c r="I22" s="1"/>
      <c r="J22" s="1"/>
      <c r="L22" s="1" t="str">
        <f t="shared" ca="1" si="0"/>
        <v>五7</v>
      </c>
    </row>
    <row r="23" spans="1:12" x14ac:dyDescent="0.2">
      <c r="A23" s="1" t="str">
        <f ca="1">IFERROR(__xludf.DUMMYFUNCTION("""COMPUTED_VALUE"""),"四")</f>
        <v>四</v>
      </c>
      <c r="B23" s="1">
        <f ca="1">IFERROR(__xludf.DUMMYFUNCTION("""COMPUTED_VALUE"""),1)</f>
        <v>1</v>
      </c>
      <c r="C23" s="1" t="str">
        <f ca="1">IFERROR(__xludf.DUMMYFUNCTION("""COMPUTED_VALUE"""),"周采葳")</f>
        <v>周采葳</v>
      </c>
      <c r="D23" s="1" t="str">
        <f ca="1">IFERROR(__xludf.DUMMYFUNCTION("""COMPUTED_VALUE"""),"李友耘")</f>
        <v>李友耘</v>
      </c>
      <c r="E23" s="1" t="str">
        <f ca="1">IFERROR(__xludf.DUMMYFUNCTION("""COMPUTED_VALUE"""),"賴宥羽")</f>
        <v>賴宥羽</v>
      </c>
      <c r="F23" s="1" t="str">
        <f ca="1">IFERROR(__xludf.DUMMYFUNCTION("""COMPUTED_VALUE"""),"王靖婷")</f>
        <v>王靖婷</v>
      </c>
      <c r="G23" s="1" t="str">
        <f ca="1">IFERROR(__xludf.DUMMYFUNCTION("""COMPUTED_VALUE"""),"陳瑜心 ")</f>
        <v xml:space="preserve">陳瑜心 </v>
      </c>
      <c r="H23" s="1" t="str">
        <f ca="1">IFERROR(__xludf.DUMMYFUNCTION("""COMPUTED_VALUE"""),"孫紹銓 ")</f>
        <v xml:space="preserve">孫紹銓 </v>
      </c>
      <c r="I23" s="1" t="str">
        <f ca="1">IFERROR(__xludf.DUMMYFUNCTION("""COMPUTED_VALUE"""),"林亮瑜")</f>
        <v>林亮瑜</v>
      </c>
      <c r="J23" s="1"/>
      <c r="L23" s="1" t="str">
        <f t="shared" ca="1" si="0"/>
        <v>四1</v>
      </c>
    </row>
    <row r="24" spans="1:12" x14ac:dyDescent="0.2">
      <c r="A24" s="1" t="str">
        <f ca="1">IFERROR(__xludf.DUMMYFUNCTION("""COMPUTED_VALUE"""),"四")</f>
        <v>四</v>
      </c>
      <c r="B24" s="1">
        <f ca="1">IFERROR(__xludf.DUMMYFUNCTION("""COMPUTED_VALUE"""),2)</f>
        <v>2</v>
      </c>
      <c r="C24" s="1" t="str">
        <f ca="1">IFERROR(__xludf.DUMMYFUNCTION("""COMPUTED_VALUE"""),"陳立恩")</f>
        <v>陳立恩</v>
      </c>
      <c r="D24" s="1" t="str">
        <f ca="1">IFERROR(__xludf.DUMMYFUNCTION("""COMPUTED_VALUE"""),"王禹傑")</f>
        <v>王禹傑</v>
      </c>
      <c r="E24" s="1" t="str">
        <f ca="1">IFERROR(__xludf.DUMMYFUNCTION("""COMPUTED_VALUE"""),"李翊榛")</f>
        <v>李翊榛</v>
      </c>
      <c r="F24" s="1" t="str">
        <f ca="1">IFERROR(__xludf.DUMMYFUNCTION("""COMPUTED_VALUE"""),"柳柔宇")</f>
        <v>柳柔宇</v>
      </c>
      <c r="G24" s="1" t="str">
        <f ca="1">IFERROR(__xludf.DUMMYFUNCTION("""COMPUTED_VALUE"""),"吳德軒")</f>
        <v>吳德軒</v>
      </c>
      <c r="H24" s="1" t="str">
        <f ca="1">IFERROR(__xludf.DUMMYFUNCTION("""COMPUTED_VALUE"""),"許佑銘")</f>
        <v>許佑銘</v>
      </c>
      <c r="I24" s="1"/>
      <c r="J24" s="1"/>
      <c r="L24" s="1" t="str">
        <f t="shared" ca="1" si="0"/>
        <v>四2</v>
      </c>
    </row>
    <row r="25" spans="1:12" x14ac:dyDescent="0.2">
      <c r="A25" s="1" t="str">
        <f ca="1">IFERROR(__xludf.DUMMYFUNCTION("""COMPUTED_VALUE"""),"五")</f>
        <v>五</v>
      </c>
      <c r="B25" s="1">
        <f ca="1">IFERROR(__xludf.DUMMYFUNCTION("""COMPUTED_VALUE"""),8)</f>
        <v>8</v>
      </c>
      <c r="C25" s="1" t="str">
        <f ca="1">IFERROR(__xludf.DUMMYFUNCTION("""COMPUTED_VALUE"""),"施淮茞")</f>
        <v>施淮茞</v>
      </c>
      <c r="D25" s="1" t="str">
        <f ca="1">IFERROR(__xludf.DUMMYFUNCTION("""COMPUTED_VALUE"""),"王勁翔")</f>
        <v>王勁翔</v>
      </c>
      <c r="E25" s="1" t="str">
        <f ca="1">IFERROR(__xludf.DUMMYFUNCTION("""COMPUTED_VALUE"""),"邱婕沂")</f>
        <v>邱婕沂</v>
      </c>
      <c r="F25" s="1" t="str">
        <f ca="1">IFERROR(__xludf.DUMMYFUNCTION("""COMPUTED_VALUE"""),"吳沛恩")</f>
        <v>吳沛恩</v>
      </c>
      <c r="G25" s="1" t="str">
        <f ca="1">IFERROR(__xludf.DUMMYFUNCTION("""COMPUTED_VALUE"""),"陳梓瑄")</f>
        <v>陳梓瑄</v>
      </c>
      <c r="H25" s="1"/>
      <c r="I25" s="1"/>
      <c r="J25" s="1"/>
      <c r="L25" s="1" t="str">
        <f t="shared" ca="1" si="0"/>
        <v>五8</v>
      </c>
    </row>
    <row r="26" spans="1:12" x14ac:dyDescent="0.2">
      <c r="A26" s="1" t="str">
        <f ca="1">IFERROR(__xludf.DUMMYFUNCTION("""COMPUTED_VALUE"""),"三")</f>
        <v>三</v>
      </c>
      <c r="B26" s="1">
        <f ca="1">IFERROR(__xludf.DUMMYFUNCTION("""COMPUTED_VALUE"""),5)</f>
        <v>5</v>
      </c>
      <c r="C26" s="1" t="str">
        <f ca="1">IFERROR(__xludf.DUMMYFUNCTION("""COMPUTED_VALUE"""),"黃子維")</f>
        <v>黃子維</v>
      </c>
      <c r="D26" s="1" t="str">
        <f ca="1">IFERROR(__xludf.DUMMYFUNCTION("""COMPUTED_VALUE"""),"王品晴")</f>
        <v>王品晴</v>
      </c>
      <c r="E26" s="1" t="str">
        <f ca="1">IFERROR(__xludf.DUMMYFUNCTION("""COMPUTED_VALUE"""),"簡孜安")</f>
        <v>簡孜安</v>
      </c>
      <c r="F26" s="1" t="str">
        <f ca="1">IFERROR(__xludf.DUMMYFUNCTION("""COMPUTED_VALUE"""),"許晏翎")</f>
        <v>許晏翎</v>
      </c>
      <c r="G26" s="1" t="str">
        <f ca="1">IFERROR(__xludf.DUMMYFUNCTION("""COMPUTED_VALUE"""),"洪馨妍")</f>
        <v>洪馨妍</v>
      </c>
      <c r="H26" s="1"/>
      <c r="I26" s="1"/>
      <c r="J26" s="1"/>
      <c r="L26" s="1" t="str">
        <f t="shared" ca="1" si="0"/>
        <v>三5</v>
      </c>
    </row>
    <row r="27" spans="1:12" x14ac:dyDescent="0.2">
      <c r="A27" s="1" t="str">
        <f ca="1">IFERROR(__xludf.DUMMYFUNCTION("""COMPUTED_VALUE"""),"四")</f>
        <v>四</v>
      </c>
      <c r="B27" s="1">
        <f ca="1">IFERROR(__xludf.DUMMYFUNCTION("""COMPUTED_VALUE"""),4)</f>
        <v>4</v>
      </c>
      <c r="C27" s="1" t="str">
        <f ca="1">IFERROR(__xludf.DUMMYFUNCTION("""COMPUTED_VALUE"""),"蔡曜陽")</f>
        <v>蔡曜陽</v>
      </c>
      <c r="D27" s="1" t="str">
        <f ca="1">IFERROR(__xludf.DUMMYFUNCTION("""COMPUTED_VALUE"""),"黃仁希")</f>
        <v>黃仁希</v>
      </c>
      <c r="E27" s="1" t="str">
        <f ca="1">IFERROR(__xludf.DUMMYFUNCTION("""COMPUTED_VALUE"""),"王彥棻")</f>
        <v>王彥棻</v>
      </c>
      <c r="F27" s="1" t="str">
        <f ca="1">IFERROR(__xludf.DUMMYFUNCTION("""COMPUTED_VALUE"""),"張鈞凱")</f>
        <v>張鈞凱</v>
      </c>
      <c r="G27" s="1" t="str">
        <f ca="1">IFERROR(__xludf.DUMMYFUNCTION("""COMPUTED_VALUE"""),"曾建智")</f>
        <v>曾建智</v>
      </c>
      <c r="H27" s="1"/>
      <c r="I27" s="1"/>
      <c r="J27" s="1"/>
      <c r="L27" s="1" t="str">
        <f t="shared" ca="1" si="0"/>
        <v>四4</v>
      </c>
    </row>
    <row r="28" spans="1:12" x14ac:dyDescent="0.2">
      <c r="A28" s="1" t="str">
        <f ca="1">IFERROR(__xludf.DUMMYFUNCTION("""COMPUTED_VALUE"""),"六")</f>
        <v>六</v>
      </c>
      <c r="B28" s="1">
        <f ca="1">IFERROR(__xludf.DUMMYFUNCTION("""COMPUTED_VALUE"""),4)</f>
        <v>4</v>
      </c>
      <c r="C28" s="1" t="str">
        <f ca="1">IFERROR(__xludf.DUMMYFUNCTION("""COMPUTED_VALUE"""),"鄧子誼")</f>
        <v>鄧子誼</v>
      </c>
      <c r="D28" s="1" t="str">
        <f ca="1">IFERROR(__xludf.DUMMYFUNCTION("""COMPUTED_VALUE"""),"張婕寧")</f>
        <v>張婕寧</v>
      </c>
      <c r="E28" s="1" t="str">
        <f ca="1">IFERROR(__xludf.DUMMYFUNCTION("""COMPUTED_VALUE"""),"康芸菀")</f>
        <v>康芸菀</v>
      </c>
      <c r="F28" s="1" t="str">
        <f ca="1">IFERROR(__xludf.DUMMYFUNCTION("""COMPUTED_VALUE"""),"閻祐葳")</f>
        <v>閻祐葳</v>
      </c>
      <c r="G28" s="1" t="str">
        <f ca="1">IFERROR(__xludf.DUMMYFUNCTION("""COMPUTED_VALUE"""),"張晴")</f>
        <v>張晴</v>
      </c>
      <c r="H28" s="1"/>
      <c r="I28" s="1"/>
      <c r="J28" s="1"/>
      <c r="L28" s="1" t="str">
        <f t="shared" ca="1" si="0"/>
        <v>六4</v>
      </c>
    </row>
    <row r="29" spans="1:12" x14ac:dyDescent="0.2">
      <c r="A29" s="1" t="str">
        <f ca="1">IFERROR(__xludf.DUMMYFUNCTION("""COMPUTED_VALUE"""),"五")</f>
        <v>五</v>
      </c>
      <c r="B29" s="1">
        <f ca="1">IFERROR(__xludf.DUMMYFUNCTION("""COMPUTED_VALUE"""),6)</f>
        <v>6</v>
      </c>
      <c r="C29" s="1" t="str">
        <f ca="1">IFERROR(__xludf.DUMMYFUNCTION("""COMPUTED_VALUE"""),"徐家軒")</f>
        <v>徐家軒</v>
      </c>
      <c r="D29" s="1" t="str">
        <f ca="1">IFERROR(__xludf.DUMMYFUNCTION("""COMPUTED_VALUE"""),"陳皞霆")</f>
        <v>陳皞霆</v>
      </c>
      <c r="E29" s="1" t="str">
        <f ca="1">IFERROR(__xludf.DUMMYFUNCTION("""COMPUTED_VALUE"""),"胡瀞予")</f>
        <v>胡瀞予</v>
      </c>
      <c r="F29" s="1" t="str">
        <f ca="1">IFERROR(__xludf.DUMMYFUNCTION("""COMPUTED_VALUE"""),"鍾茲涵")</f>
        <v>鍾茲涵</v>
      </c>
      <c r="G29" s="1" t="str">
        <f ca="1">IFERROR(__xludf.DUMMYFUNCTION("""COMPUTED_VALUE"""),"曹沛汝")</f>
        <v>曹沛汝</v>
      </c>
      <c r="H29" s="1" t="str">
        <f ca="1">IFERROR(__xludf.DUMMYFUNCTION("""COMPUTED_VALUE"""),"王于嘉")</f>
        <v>王于嘉</v>
      </c>
      <c r="I29" s="1"/>
      <c r="J29" s="1"/>
      <c r="L29" s="1" t="str">
        <f t="shared" ca="1" si="0"/>
        <v>五6</v>
      </c>
    </row>
    <row r="30" spans="1:12" x14ac:dyDescent="0.2">
      <c r="A30" s="1" t="str">
        <f ca="1">IFERROR(__xludf.DUMMYFUNCTION("""COMPUTED_VALUE"""),"五")</f>
        <v>五</v>
      </c>
      <c r="B30" s="1">
        <f ca="1">IFERROR(__xludf.DUMMYFUNCTION("""COMPUTED_VALUE"""),10)</f>
        <v>10</v>
      </c>
      <c r="C30" s="1" t="str">
        <f ca="1">IFERROR(__xludf.DUMMYFUNCTION("""COMPUTED_VALUE"""),"林琦恩")</f>
        <v>林琦恩</v>
      </c>
      <c r="D30" s="1" t="str">
        <f ca="1">IFERROR(__xludf.DUMMYFUNCTION("""COMPUTED_VALUE"""),"李汶芯")</f>
        <v>李汶芯</v>
      </c>
      <c r="E30" s="1" t="str">
        <f ca="1">IFERROR(__xludf.DUMMYFUNCTION("""COMPUTED_VALUE"""),"曾芊樺")</f>
        <v>曾芊樺</v>
      </c>
      <c r="F30" s="1" t="str">
        <f ca="1">IFERROR(__xludf.DUMMYFUNCTION("""COMPUTED_VALUE"""),"方姵淇")</f>
        <v>方姵淇</v>
      </c>
      <c r="G30" s="1" t="str">
        <f ca="1">IFERROR(__xludf.DUMMYFUNCTION("""COMPUTED_VALUE"""),"蔡旻珊")</f>
        <v>蔡旻珊</v>
      </c>
      <c r="H30" s="1" t="str">
        <f ca="1">IFERROR(__xludf.DUMMYFUNCTION("""COMPUTED_VALUE"""),"呂恩昕")</f>
        <v>呂恩昕</v>
      </c>
      <c r="I30" s="1"/>
      <c r="J30" s="1"/>
      <c r="L30" s="1" t="str">
        <f t="shared" ca="1" si="0"/>
        <v>五10</v>
      </c>
    </row>
    <row r="31" spans="1:12" x14ac:dyDescent="0.2">
      <c r="A31" s="1" t="str">
        <f ca="1">IFERROR(__xludf.DUMMYFUNCTION("""COMPUTED_VALUE"""),"三")</f>
        <v>三</v>
      </c>
      <c r="B31" s="1">
        <f ca="1">IFERROR(__xludf.DUMMYFUNCTION("""COMPUTED_VALUE"""),7)</f>
        <v>7</v>
      </c>
      <c r="C31" s="1" t="str">
        <f ca="1">IFERROR(__xludf.DUMMYFUNCTION("""COMPUTED_VALUE"""),"吳昀霏")</f>
        <v>吳昀霏</v>
      </c>
      <c r="D31" s="1" t="str">
        <f ca="1">IFERROR(__xludf.DUMMYFUNCTION("""COMPUTED_VALUE"""),"張芯瑜")</f>
        <v>張芯瑜</v>
      </c>
      <c r="E31" s="1" t="str">
        <f ca="1">IFERROR(__xludf.DUMMYFUNCTION("""COMPUTED_VALUE"""),"陳妘溱")</f>
        <v>陳妘溱</v>
      </c>
      <c r="F31" s="1" t="str">
        <f ca="1">IFERROR(__xludf.DUMMYFUNCTION("""COMPUTED_VALUE"""),"林琮祐")</f>
        <v>林琮祐</v>
      </c>
      <c r="G31" s="1" t="str">
        <f ca="1">IFERROR(__xludf.DUMMYFUNCTION("""COMPUTED_VALUE"""),"李家楷")</f>
        <v>李家楷</v>
      </c>
      <c r="H31" s="1"/>
      <c r="I31" s="1"/>
      <c r="J31" s="1"/>
      <c r="L31" s="1" t="str">
        <f t="shared" ca="1" si="0"/>
        <v>三7</v>
      </c>
    </row>
    <row r="32" spans="1:12" x14ac:dyDescent="0.2">
      <c r="A32" s="1" t="str">
        <f ca="1">IFERROR(__xludf.DUMMYFUNCTION("""COMPUTED_VALUE"""),"六")</f>
        <v>六</v>
      </c>
      <c r="B32" s="1">
        <f ca="1">IFERROR(__xludf.DUMMYFUNCTION("""COMPUTED_VALUE"""),3)</f>
        <v>3</v>
      </c>
      <c r="C32" s="1" t="str">
        <f ca="1">IFERROR(__xludf.DUMMYFUNCTION("""COMPUTED_VALUE"""),"黃巧羽")</f>
        <v>黃巧羽</v>
      </c>
      <c r="D32" s="1" t="str">
        <f ca="1">IFERROR(__xludf.DUMMYFUNCTION("""COMPUTED_VALUE"""),"李沁芸")</f>
        <v>李沁芸</v>
      </c>
      <c r="E32" s="1" t="str">
        <f ca="1">IFERROR(__xludf.DUMMYFUNCTION("""COMPUTED_VALUE"""),"褚家妍")</f>
        <v>褚家妍</v>
      </c>
      <c r="F32" s="1" t="str">
        <f ca="1">IFERROR(__xludf.DUMMYFUNCTION("""COMPUTED_VALUE"""),"陳宥璇")</f>
        <v>陳宥璇</v>
      </c>
      <c r="G32" s="1" t="str">
        <f ca="1">IFERROR(__xludf.DUMMYFUNCTION("""COMPUTED_VALUE"""),"方翊宸")</f>
        <v>方翊宸</v>
      </c>
      <c r="H32" s="1" t="str">
        <f ca="1">IFERROR(__xludf.DUMMYFUNCTION("""COMPUTED_VALUE"""),"林季廷")</f>
        <v>林季廷</v>
      </c>
      <c r="I32" s="1" t="str">
        <f ca="1">IFERROR(__xludf.DUMMYFUNCTION("""COMPUTED_VALUE"""),"吳芷歆")</f>
        <v>吳芷歆</v>
      </c>
      <c r="J32" s="1"/>
      <c r="L32" s="1" t="str">
        <f t="shared" ca="1" si="0"/>
        <v>六3</v>
      </c>
    </row>
    <row r="33" spans="1:12" x14ac:dyDescent="0.2">
      <c r="A33" s="1" t="str">
        <f ca="1">IFERROR(__xludf.DUMMYFUNCTION("""COMPUTED_VALUE"""),"五")</f>
        <v>五</v>
      </c>
      <c r="B33" s="1">
        <f ca="1">IFERROR(__xludf.DUMMYFUNCTION("""COMPUTED_VALUE"""),2)</f>
        <v>2</v>
      </c>
      <c r="C33" s="1" t="str">
        <f ca="1">IFERROR(__xludf.DUMMYFUNCTION("""COMPUTED_VALUE"""),"陳佑瑄")</f>
        <v>陳佑瑄</v>
      </c>
      <c r="D33" s="1" t="str">
        <f ca="1">IFERROR(__xludf.DUMMYFUNCTION("""COMPUTED_VALUE"""),"桑語娸")</f>
        <v>桑語娸</v>
      </c>
      <c r="E33" s="1" t="str">
        <f ca="1">IFERROR(__xludf.DUMMYFUNCTION("""COMPUTED_VALUE"""),"賴映筑")</f>
        <v>賴映筑</v>
      </c>
      <c r="F33" s="1" t="str">
        <f ca="1">IFERROR(__xludf.DUMMYFUNCTION("""COMPUTED_VALUE"""),"徐廷豪")</f>
        <v>徐廷豪</v>
      </c>
      <c r="G33" s="1" t="str">
        <f ca="1">IFERROR(__xludf.DUMMYFUNCTION("""COMPUTED_VALUE"""),"桑語婕")</f>
        <v>桑語婕</v>
      </c>
      <c r="H33" s="1"/>
      <c r="I33" s="1"/>
      <c r="J33" s="1"/>
      <c r="L33" s="1" t="str">
        <f t="shared" ca="1" si="0"/>
        <v>五2</v>
      </c>
    </row>
    <row r="34" spans="1:12" x14ac:dyDescent="0.2">
      <c r="A34" s="1" t="str">
        <f ca="1">IFERROR(__xludf.DUMMYFUNCTION("""COMPUTED_VALUE"""),"三")</f>
        <v>三</v>
      </c>
      <c r="B34" s="1">
        <f ca="1">IFERROR(__xludf.DUMMYFUNCTION("""COMPUTED_VALUE"""),13)</f>
        <v>13</v>
      </c>
      <c r="C34" s="1" t="str">
        <f ca="1">IFERROR(__xludf.DUMMYFUNCTION("""COMPUTED_VALUE"""),"楊智博")</f>
        <v>楊智博</v>
      </c>
      <c r="D34" s="1" t="str">
        <f ca="1">IFERROR(__xludf.DUMMYFUNCTION("""COMPUTED_VALUE"""),"周昆諒")</f>
        <v>周昆諒</v>
      </c>
      <c r="E34" s="1" t="str">
        <f ca="1">IFERROR(__xludf.DUMMYFUNCTION("""COMPUTED_VALUE"""),"沙棠")</f>
        <v>沙棠</v>
      </c>
      <c r="F34" s="1" t="str">
        <f ca="1">IFERROR(__xludf.DUMMYFUNCTION("""COMPUTED_VALUE"""),"顏璟安")</f>
        <v>顏璟安</v>
      </c>
      <c r="G34" s="1" t="str">
        <f ca="1">IFERROR(__xludf.DUMMYFUNCTION("""COMPUTED_VALUE"""),"孫梅恩")</f>
        <v>孫梅恩</v>
      </c>
      <c r="H34" s="1"/>
      <c r="I34" s="1"/>
      <c r="J34" s="1"/>
      <c r="L34" s="1" t="str">
        <f t="shared" ca="1" si="0"/>
        <v>三13</v>
      </c>
    </row>
    <row r="35" spans="1:12" x14ac:dyDescent="0.2">
      <c r="A35" s="1" t="str">
        <f ca="1">IFERROR(__xludf.DUMMYFUNCTION("""COMPUTED_VALUE"""),"六")</f>
        <v>六</v>
      </c>
      <c r="B35" s="1">
        <f ca="1">IFERROR(__xludf.DUMMYFUNCTION("""COMPUTED_VALUE"""),10)</f>
        <v>10</v>
      </c>
      <c r="C35" s="1" t="str">
        <f ca="1">IFERROR(__xludf.DUMMYFUNCTION("""COMPUTED_VALUE"""),"蔡泳淇")</f>
        <v>蔡泳淇</v>
      </c>
      <c r="D35" s="1" t="str">
        <f ca="1">IFERROR(__xludf.DUMMYFUNCTION("""COMPUTED_VALUE"""),"賴宬媞")</f>
        <v>賴宬媞</v>
      </c>
      <c r="E35" s="1" t="str">
        <f ca="1">IFERROR(__xludf.DUMMYFUNCTION("""COMPUTED_VALUE"""),"何忻蓉")</f>
        <v>何忻蓉</v>
      </c>
      <c r="F35" s="1" t="str">
        <f ca="1">IFERROR(__xludf.DUMMYFUNCTION("""COMPUTED_VALUE"""),"林佩吟")</f>
        <v>林佩吟</v>
      </c>
      <c r="G35" s="1" t="str">
        <f ca="1">IFERROR(__xludf.DUMMYFUNCTION("""COMPUTED_VALUE"""),"侯定佑")</f>
        <v>侯定佑</v>
      </c>
      <c r="H35" s="1"/>
      <c r="I35" s="1"/>
      <c r="J35" s="1"/>
      <c r="L35" s="1" t="str">
        <f t="shared" ca="1" si="0"/>
        <v>六10</v>
      </c>
    </row>
    <row r="36" spans="1:12" x14ac:dyDescent="0.2">
      <c r="A36" s="1" t="str">
        <f ca="1">IFERROR(__xludf.DUMMYFUNCTION("""COMPUTED_VALUE"""),"五")</f>
        <v>五</v>
      </c>
      <c r="B36" s="1">
        <f ca="1">IFERROR(__xludf.DUMMYFUNCTION("""COMPUTED_VALUE"""),1)</f>
        <v>1</v>
      </c>
      <c r="C36" s="1" t="str">
        <f ca="1">IFERROR(__xludf.DUMMYFUNCTION("""COMPUTED_VALUE"""),"彭雋庭")</f>
        <v>彭雋庭</v>
      </c>
      <c r="D36" s="1" t="str">
        <f ca="1">IFERROR(__xludf.DUMMYFUNCTION("""COMPUTED_VALUE"""),"方楷淵")</f>
        <v>方楷淵</v>
      </c>
      <c r="E36" s="1" t="str">
        <f ca="1">IFERROR(__xludf.DUMMYFUNCTION("""COMPUTED_VALUE"""),"張婉萍")</f>
        <v>張婉萍</v>
      </c>
      <c r="F36" s="1" t="str">
        <f ca="1">IFERROR(__xludf.DUMMYFUNCTION("""COMPUTED_VALUE"""),"許恩婕")</f>
        <v>許恩婕</v>
      </c>
      <c r="G36" s="1" t="str">
        <f ca="1">IFERROR(__xludf.DUMMYFUNCTION("""COMPUTED_VALUE"""),"廖心嵐")</f>
        <v>廖心嵐</v>
      </c>
      <c r="H36" s="1"/>
      <c r="I36" s="1"/>
      <c r="J36" s="1"/>
      <c r="L36" s="1" t="str">
        <f t="shared" ca="1" si="0"/>
        <v>五1</v>
      </c>
    </row>
    <row r="37" spans="1:12" x14ac:dyDescent="0.2">
      <c r="A37" s="1" t="str">
        <f ca="1">IFERROR(__xludf.DUMMYFUNCTION("""COMPUTED_VALUE"""),"六")</f>
        <v>六</v>
      </c>
      <c r="B37" s="1">
        <f ca="1">IFERROR(__xludf.DUMMYFUNCTION("""COMPUTED_VALUE"""),9)</f>
        <v>9</v>
      </c>
      <c r="C37" s="1" t="str">
        <f ca="1">IFERROR(__xludf.DUMMYFUNCTION("""COMPUTED_VALUE"""),"江芊霈")</f>
        <v>江芊霈</v>
      </c>
      <c r="D37" s="1" t="str">
        <f ca="1">IFERROR(__xludf.DUMMYFUNCTION("""COMPUTED_VALUE"""),"周子祐")</f>
        <v>周子祐</v>
      </c>
      <c r="E37" s="1" t="str">
        <f ca="1">IFERROR(__xludf.DUMMYFUNCTION("""COMPUTED_VALUE"""),"簡士傑")</f>
        <v>簡士傑</v>
      </c>
      <c r="F37" s="1" t="str">
        <f ca="1">IFERROR(__xludf.DUMMYFUNCTION("""COMPUTED_VALUE"""),"廖毅宸")</f>
        <v>廖毅宸</v>
      </c>
      <c r="G37" s="1" t="str">
        <f ca="1">IFERROR(__xludf.DUMMYFUNCTION("""COMPUTED_VALUE"""),"黃家泫")</f>
        <v>黃家泫</v>
      </c>
      <c r="H37" s="1"/>
      <c r="I37" s="1"/>
      <c r="J37" s="1"/>
      <c r="L37" s="1" t="str">
        <f t="shared" ca="1" si="0"/>
        <v>六9</v>
      </c>
    </row>
    <row r="38" spans="1:12" x14ac:dyDescent="0.2">
      <c r="A38" s="1" t="str">
        <f ca="1">IFERROR(__xludf.DUMMYFUNCTION("""COMPUTED_VALUE"""),"六")</f>
        <v>六</v>
      </c>
      <c r="B38" s="1">
        <f ca="1">IFERROR(__xludf.DUMMYFUNCTION("""COMPUTED_VALUE"""),11)</f>
        <v>11</v>
      </c>
      <c r="C38" s="1" t="str">
        <f ca="1">IFERROR(__xludf.DUMMYFUNCTION("""COMPUTED_VALUE"""),"周俊安")</f>
        <v>周俊安</v>
      </c>
      <c r="D38" s="1" t="str">
        <f ca="1">IFERROR(__xludf.DUMMYFUNCTION("""COMPUTED_VALUE"""),"蕭鎮源")</f>
        <v>蕭鎮源</v>
      </c>
      <c r="E38" s="1" t="str">
        <f ca="1">IFERROR(__xludf.DUMMYFUNCTION("""COMPUTED_VALUE"""),"陳祉妤")</f>
        <v>陳祉妤</v>
      </c>
      <c r="F38" s="1" t="str">
        <f ca="1">IFERROR(__xludf.DUMMYFUNCTION("""COMPUTED_VALUE"""),"鄭宏邦")</f>
        <v>鄭宏邦</v>
      </c>
      <c r="G38" s="1" t="str">
        <f ca="1">IFERROR(__xludf.DUMMYFUNCTION("""COMPUTED_VALUE"""),"蔡尚廷")</f>
        <v>蔡尚廷</v>
      </c>
      <c r="H38" s="1"/>
      <c r="I38" s="1"/>
      <c r="J38" s="1"/>
      <c r="L38" s="1" t="str">
        <f t="shared" ca="1" si="0"/>
        <v>六11</v>
      </c>
    </row>
    <row r="39" spans="1:12" x14ac:dyDescent="0.2">
      <c r="A39" s="1" t="str">
        <f ca="1">IFERROR(__xludf.DUMMYFUNCTION("""COMPUTED_VALUE"""),"三")</f>
        <v>三</v>
      </c>
      <c r="B39" s="1">
        <f ca="1">IFERROR(__xludf.DUMMYFUNCTION("""COMPUTED_VALUE"""),2)</f>
        <v>2</v>
      </c>
      <c r="C39" s="1" t="str">
        <f ca="1">IFERROR(__xludf.DUMMYFUNCTION("""COMPUTED_VALUE"""),"徐芷妍")</f>
        <v>徐芷妍</v>
      </c>
      <c r="D39" s="1" t="str">
        <f ca="1">IFERROR(__xludf.DUMMYFUNCTION("""COMPUTED_VALUE"""),"游品嫣")</f>
        <v>游品嫣</v>
      </c>
      <c r="E39" s="1" t="str">
        <f ca="1">IFERROR(__xludf.DUMMYFUNCTION("""COMPUTED_VALUE"""),"李昱瑩")</f>
        <v>李昱瑩</v>
      </c>
      <c r="F39" s="1" t="str">
        <f ca="1">IFERROR(__xludf.DUMMYFUNCTION("""COMPUTED_VALUE"""),"林辰曄")</f>
        <v>林辰曄</v>
      </c>
      <c r="G39" s="1" t="str">
        <f ca="1">IFERROR(__xludf.DUMMYFUNCTION("""COMPUTED_VALUE"""),"賴宬彧")</f>
        <v>賴宬彧</v>
      </c>
      <c r="H39" s="1"/>
      <c r="I39" s="1"/>
      <c r="J39" s="1"/>
      <c r="L39" s="1" t="str">
        <f t="shared" ca="1" si="0"/>
        <v>三2</v>
      </c>
    </row>
    <row r="40" spans="1:12" x14ac:dyDescent="0.2">
      <c r="A40" s="1" t="str">
        <f ca="1">IFERROR(__xludf.DUMMYFUNCTION("""COMPUTED_VALUE"""),"五")</f>
        <v>五</v>
      </c>
      <c r="B40" s="1">
        <f ca="1">IFERROR(__xludf.DUMMYFUNCTION("""COMPUTED_VALUE"""),9)</f>
        <v>9</v>
      </c>
      <c r="C40" s="1" t="str">
        <f ca="1">IFERROR(__xludf.DUMMYFUNCTION("""COMPUTED_VALUE"""),"邱品捷")</f>
        <v>邱品捷</v>
      </c>
      <c r="D40" s="1" t="str">
        <f ca="1">IFERROR(__xludf.DUMMYFUNCTION("""COMPUTED_VALUE"""),"詹辰歆")</f>
        <v>詹辰歆</v>
      </c>
      <c r="E40" s="1" t="str">
        <f ca="1">IFERROR(__xludf.DUMMYFUNCTION("""COMPUTED_VALUE"""),"黃靖恬")</f>
        <v>黃靖恬</v>
      </c>
      <c r="F40" s="1" t="str">
        <f ca="1">IFERROR(__xludf.DUMMYFUNCTION("""COMPUTED_VALUE"""),"林尚儀")</f>
        <v>林尚儀</v>
      </c>
      <c r="G40" s="1" t="str">
        <f ca="1">IFERROR(__xludf.DUMMYFUNCTION("""COMPUTED_VALUE"""),"吳家亨")</f>
        <v>吳家亨</v>
      </c>
      <c r="H40" s="1" t="str">
        <f ca="1">IFERROR(__xludf.DUMMYFUNCTION("""COMPUTED_VALUE"""),"林雨蓉")</f>
        <v>林雨蓉</v>
      </c>
      <c r="I40" s="1" t="str">
        <f ca="1">IFERROR(__xludf.DUMMYFUNCTION("""COMPUTED_VALUE"""),"戴世修")</f>
        <v>戴世修</v>
      </c>
      <c r="J40" s="1"/>
      <c r="L40" s="1" t="str">
        <f t="shared" ca="1" si="0"/>
        <v>五9</v>
      </c>
    </row>
    <row r="41" spans="1:12" x14ac:dyDescent="0.2">
      <c r="A41" s="1" t="str">
        <f ca="1">IFERROR(__xludf.DUMMYFUNCTION("""COMPUTED_VALUE"""),"四")</f>
        <v>四</v>
      </c>
      <c r="B41" s="1">
        <f ca="1">IFERROR(__xludf.DUMMYFUNCTION("""COMPUTED_VALUE"""),5)</f>
        <v>5</v>
      </c>
      <c r="C41" s="1" t="str">
        <f ca="1">IFERROR(__xludf.DUMMYFUNCTION("""COMPUTED_VALUE"""),"林莘澄")</f>
        <v>林莘澄</v>
      </c>
      <c r="D41" s="1" t="str">
        <f ca="1">IFERROR(__xludf.DUMMYFUNCTION("""COMPUTED_VALUE"""),"孫語彤")</f>
        <v>孫語彤</v>
      </c>
      <c r="E41" s="1" t="str">
        <f ca="1">IFERROR(__xludf.DUMMYFUNCTION("""COMPUTED_VALUE"""),"賴彥瑾")</f>
        <v>賴彥瑾</v>
      </c>
      <c r="F41" s="1" t="str">
        <f ca="1">IFERROR(__xludf.DUMMYFUNCTION("""COMPUTED_VALUE"""),"李禹威")</f>
        <v>李禹威</v>
      </c>
      <c r="G41" s="1" t="str">
        <f ca="1">IFERROR(__xludf.DUMMYFUNCTION("""COMPUTED_VALUE"""),"周煥承")</f>
        <v>周煥承</v>
      </c>
      <c r="H41" s="1" t="str">
        <f ca="1">IFERROR(__xludf.DUMMYFUNCTION("""COMPUTED_VALUE"""),"林莘叡")</f>
        <v>林莘叡</v>
      </c>
      <c r="I41" s="1"/>
      <c r="J41" s="1"/>
      <c r="L41" s="1" t="str">
        <f t="shared" ca="1" si="0"/>
        <v>四5</v>
      </c>
    </row>
    <row r="42" spans="1:12" x14ac:dyDescent="0.2">
      <c r="A42" s="1" t="str">
        <f ca="1">IFERROR(__xludf.DUMMYFUNCTION("""COMPUTED_VALUE"""),"四")</f>
        <v>四</v>
      </c>
      <c r="B42" s="1">
        <f ca="1">IFERROR(__xludf.DUMMYFUNCTION("""COMPUTED_VALUE"""),9)</f>
        <v>9</v>
      </c>
      <c r="C42" s="1" t="str">
        <f ca="1">IFERROR(__xludf.DUMMYFUNCTION("""COMPUTED_VALUE"""),"莊千霈")</f>
        <v>莊千霈</v>
      </c>
      <c r="D42" s="1" t="str">
        <f ca="1">IFERROR(__xludf.DUMMYFUNCTION("""COMPUTED_VALUE"""),"蔡沛晴")</f>
        <v>蔡沛晴</v>
      </c>
      <c r="E42" s="1" t="str">
        <f ca="1">IFERROR(__xludf.DUMMYFUNCTION("""COMPUTED_VALUE"""),"唐書平")</f>
        <v>唐書平</v>
      </c>
      <c r="F42" s="1" t="str">
        <f ca="1">IFERROR(__xludf.DUMMYFUNCTION("""COMPUTED_VALUE"""),"尹新崴")</f>
        <v>尹新崴</v>
      </c>
      <c r="G42" s="1" t="str">
        <f ca="1">IFERROR(__xludf.DUMMYFUNCTION("""COMPUTED_VALUE"""),"葉欣怡")</f>
        <v>葉欣怡</v>
      </c>
      <c r="H42" s="1"/>
      <c r="I42" s="1"/>
      <c r="J42" s="1"/>
      <c r="L42" s="1" t="str">
        <f t="shared" ca="1" si="0"/>
        <v>四9</v>
      </c>
    </row>
    <row r="43" spans="1:12" x14ac:dyDescent="0.2">
      <c r="A43" s="1" t="str">
        <f ca="1">IFERROR(__xludf.DUMMYFUNCTION("""COMPUTED_VALUE"""),"四")</f>
        <v>四</v>
      </c>
      <c r="B43" s="1">
        <f ca="1">IFERROR(__xludf.DUMMYFUNCTION("""COMPUTED_VALUE"""),10)</f>
        <v>10</v>
      </c>
      <c r="C43" s="1" t="str">
        <f ca="1">IFERROR(__xludf.DUMMYFUNCTION("""COMPUTED_VALUE"""),"馮品瑄")</f>
        <v>馮品瑄</v>
      </c>
      <c r="D43" s="1" t="str">
        <f ca="1">IFERROR(__xludf.DUMMYFUNCTION("""COMPUTED_VALUE"""),"鄒子惟")</f>
        <v>鄒子惟</v>
      </c>
      <c r="E43" s="1" t="str">
        <f ca="1">IFERROR(__xludf.DUMMYFUNCTION("""COMPUTED_VALUE"""),"黃妤芹")</f>
        <v>黃妤芹</v>
      </c>
      <c r="F43" s="1" t="str">
        <f ca="1">IFERROR(__xludf.DUMMYFUNCTION("""COMPUTED_VALUE"""),"尹山徽")</f>
        <v>尹山徽</v>
      </c>
      <c r="G43" s="1" t="str">
        <f ca="1">IFERROR(__xludf.DUMMYFUNCTION("""COMPUTED_VALUE"""),"簡至羚")</f>
        <v>簡至羚</v>
      </c>
      <c r="H43" s="1"/>
      <c r="I43" s="1"/>
      <c r="J43" s="1"/>
      <c r="L43" s="1" t="str">
        <f t="shared" ca="1" si="0"/>
        <v>四10</v>
      </c>
    </row>
    <row r="44" spans="1:12" x14ac:dyDescent="0.2">
      <c r="A44" s="1" t="str">
        <f ca="1">IFERROR(__xludf.DUMMYFUNCTION("""COMPUTED_VALUE"""),"六")</f>
        <v>六</v>
      </c>
      <c r="B44" s="1">
        <f ca="1">IFERROR(__xludf.DUMMYFUNCTION("""COMPUTED_VALUE"""),12)</f>
        <v>12</v>
      </c>
      <c r="C44" s="1" t="str">
        <f ca="1">IFERROR(__xludf.DUMMYFUNCTION("""COMPUTED_VALUE"""),"李晉弘")</f>
        <v>李晉弘</v>
      </c>
      <c r="D44" s="1" t="str">
        <f ca="1">IFERROR(__xludf.DUMMYFUNCTION("""COMPUTED_VALUE"""),"楊兆恩")</f>
        <v>楊兆恩</v>
      </c>
      <c r="E44" s="1" t="str">
        <f ca="1">IFERROR(__xludf.DUMMYFUNCTION("""COMPUTED_VALUE"""),"洪雅欣")</f>
        <v>洪雅欣</v>
      </c>
      <c r="F44" s="1" t="str">
        <f ca="1">IFERROR(__xludf.DUMMYFUNCTION("""COMPUTED_VALUE"""),"林芷彤")</f>
        <v>林芷彤</v>
      </c>
      <c r="G44" s="1" t="str">
        <f ca="1">IFERROR(__xludf.DUMMYFUNCTION("""COMPUTED_VALUE"""),"劉品妤")</f>
        <v>劉品妤</v>
      </c>
      <c r="H44" s="1"/>
      <c r="I44" s="1"/>
      <c r="J44" s="1"/>
      <c r="L44" s="1" t="str">
        <f t="shared" ca="1" si="0"/>
        <v>六12</v>
      </c>
    </row>
    <row r="45" spans="1:12" x14ac:dyDescent="0.2">
      <c r="A45" s="1" t="str">
        <f ca="1">IFERROR(__xludf.DUMMYFUNCTION("""COMPUTED_VALUE"""),"三")</f>
        <v>三</v>
      </c>
      <c r="B45" s="1">
        <f ca="1">IFERROR(__xludf.DUMMYFUNCTION("""COMPUTED_VALUE"""),8)</f>
        <v>8</v>
      </c>
      <c r="C45" s="1" t="str">
        <f ca="1">IFERROR(__xludf.DUMMYFUNCTION("""COMPUTED_VALUE"""),"林晏佑")</f>
        <v>林晏佑</v>
      </c>
      <c r="D45" s="1" t="str">
        <f ca="1">IFERROR(__xludf.DUMMYFUNCTION("""COMPUTED_VALUE"""),"盧珊瑩")</f>
        <v>盧珊瑩</v>
      </c>
      <c r="E45" s="1" t="str">
        <f ca="1">IFERROR(__xludf.DUMMYFUNCTION("""COMPUTED_VALUE"""),"康亦青")</f>
        <v>康亦青</v>
      </c>
      <c r="F45" s="1" t="str">
        <f ca="1">IFERROR(__xludf.DUMMYFUNCTION("""COMPUTED_VALUE"""),"黃奕晴")</f>
        <v>黃奕晴</v>
      </c>
      <c r="G45" s="1" t="str">
        <f ca="1">IFERROR(__xludf.DUMMYFUNCTION("""COMPUTED_VALUE"""),"吳詠晴")</f>
        <v>吳詠晴</v>
      </c>
      <c r="H45" s="1"/>
      <c r="I45" s="1"/>
      <c r="J45" s="1"/>
      <c r="L45" s="1" t="str">
        <f t="shared" ca="1" si="0"/>
        <v>三8</v>
      </c>
    </row>
    <row r="46" spans="1:12" x14ac:dyDescent="0.2">
      <c r="A46" s="1" t="str">
        <f ca="1">IFERROR(__xludf.DUMMYFUNCTION("""COMPUTED_VALUE"""),"三")</f>
        <v>三</v>
      </c>
      <c r="B46" s="1">
        <f ca="1">IFERROR(__xludf.DUMMYFUNCTION("""COMPUTED_VALUE"""),3)</f>
        <v>3</v>
      </c>
      <c r="C46" s="1" t="str">
        <f ca="1">IFERROR(__xludf.DUMMYFUNCTION("""COMPUTED_VALUE"""),"楊俊倫")</f>
        <v>楊俊倫</v>
      </c>
      <c r="D46" s="1" t="str">
        <f ca="1">IFERROR(__xludf.DUMMYFUNCTION("""COMPUTED_VALUE"""),"林品曦")</f>
        <v>林品曦</v>
      </c>
      <c r="E46" s="1" t="str">
        <f ca="1">IFERROR(__xludf.DUMMYFUNCTION("""COMPUTED_VALUE"""),"鄭亦紘")</f>
        <v>鄭亦紘</v>
      </c>
      <c r="F46" s="1" t="str">
        <f ca="1">IFERROR(__xludf.DUMMYFUNCTION("""COMPUTED_VALUE"""),"吳雨蓉")</f>
        <v>吳雨蓉</v>
      </c>
      <c r="G46" s="1" t="str">
        <f ca="1">IFERROR(__xludf.DUMMYFUNCTION("""COMPUTED_VALUE"""),"李若涵")</f>
        <v>李若涵</v>
      </c>
      <c r="H46" s="1"/>
      <c r="I46" s="1"/>
      <c r="J46" s="1"/>
      <c r="L46" s="1" t="str">
        <f t="shared" ca="1" si="0"/>
        <v>三3</v>
      </c>
    </row>
    <row r="47" spans="1:12" x14ac:dyDescent="0.2">
      <c r="A47" s="1" t="str">
        <f ca="1">IFERROR(__xludf.DUMMYFUNCTION("""COMPUTED_VALUE"""),"四")</f>
        <v>四</v>
      </c>
      <c r="B47" s="1">
        <f ca="1">IFERROR(__xludf.DUMMYFUNCTION("""COMPUTED_VALUE"""),8)</f>
        <v>8</v>
      </c>
      <c r="C47" s="1" t="str">
        <f ca="1">IFERROR(__xludf.DUMMYFUNCTION("""COMPUTED_VALUE"""),"黃亭瑀")</f>
        <v>黃亭瑀</v>
      </c>
      <c r="D47" s="1" t="str">
        <f ca="1">IFERROR(__xludf.DUMMYFUNCTION("""COMPUTED_VALUE"""),"高語濃")</f>
        <v>高語濃</v>
      </c>
      <c r="E47" s="1" t="str">
        <f ca="1">IFERROR(__xludf.DUMMYFUNCTION("""COMPUTED_VALUE"""),"陳亮佑")</f>
        <v>陳亮佑</v>
      </c>
      <c r="F47" s="1" t="str">
        <f ca="1">IFERROR(__xludf.DUMMYFUNCTION("""COMPUTED_VALUE"""),"李柏儒")</f>
        <v>李柏儒</v>
      </c>
      <c r="G47" s="1" t="str">
        <f ca="1">IFERROR(__xludf.DUMMYFUNCTION("""COMPUTED_VALUE"""),"劉上齊")</f>
        <v>劉上齊</v>
      </c>
      <c r="H47" s="1"/>
      <c r="I47" s="1"/>
      <c r="J47" s="1"/>
      <c r="L47" s="1" t="str">
        <f t="shared" ca="1" si="0"/>
        <v>四8</v>
      </c>
    </row>
    <row r="48" spans="1:12" x14ac:dyDescent="0.2">
      <c r="A48" s="1" t="str">
        <f ca="1">IFERROR(__xludf.DUMMYFUNCTION("""COMPUTED_VALUE"""),"五")</f>
        <v>五</v>
      </c>
      <c r="B48" s="1">
        <f ca="1">IFERROR(__xludf.DUMMYFUNCTION("""COMPUTED_VALUE"""),3)</f>
        <v>3</v>
      </c>
      <c r="C48" s="1" t="str">
        <f ca="1">IFERROR(__xludf.DUMMYFUNCTION("""COMPUTED_VALUE"""),"胡又丹")</f>
        <v>胡又丹</v>
      </c>
      <c r="D48" s="1" t="str">
        <f ca="1">IFERROR(__xludf.DUMMYFUNCTION("""COMPUTED_VALUE"""),"葉劉旂")</f>
        <v>葉劉旂</v>
      </c>
      <c r="E48" s="1" t="str">
        <f ca="1">IFERROR(__xludf.DUMMYFUNCTION("""COMPUTED_VALUE"""),"何巧樂")</f>
        <v>何巧樂</v>
      </c>
      <c r="F48" s="1" t="str">
        <f ca="1">IFERROR(__xludf.DUMMYFUNCTION("""COMPUTED_VALUE"""),"陳雋沅")</f>
        <v>陳雋沅</v>
      </c>
      <c r="G48" s="1" t="str">
        <f ca="1">IFERROR(__xludf.DUMMYFUNCTION("""COMPUTED_VALUE"""),"周加恩")</f>
        <v>周加恩</v>
      </c>
      <c r="H48" s="1"/>
      <c r="I48" s="1"/>
      <c r="J48" s="1"/>
      <c r="L48" s="1" t="str">
        <f t="shared" ca="1" si="0"/>
        <v>五3</v>
      </c>
    </row>
    <row r="49" spans="1:12" x14ac:dyDescent="0.2">
      <c r="A49" s="1" t="str">
        <f ca="1">IFERROR(__xludf.DUMMYFUNCTION("""COMPUTED_VALUE"""),"五")</f>
        <v>五</v>
      </c>
      <c r="B49" s="1">
        <f ca="1">IFERROR(__xludf.DUMMYFUNCTION("""COMPUTED_VALUE"""),11)</f>
        <v>11</v>
      </c>
      <c r="C49" s="1" t="str">
        <f ca="1">IFERROR(__xludf.DUMMYFUNCTION("""COMPUTED_VALUE"""),"周沛潔")</f>
        <v>周沛潔</v>
      </c>
      <c r="D49" s="1" t="str">
        <f ca="1">IFERROR(__xludf.DUMMYFUNCTION("""COMPUTED_VALUE"""),"歐妍君")</f>
        <v>歐妍君</v>
      </c>
      <c r="E49" s="1" t="str">
        <f ca="1">IFERROR(__xludf.DUMMYFUNCTION("""COMPUTED_VALUE"""),"江蓓萱")</f>
        <v>江蓓萱</v>
      </c>
      <c r="F49" s="1" t="str">
        <f ca="1">IFERROR(__xludf.DUMMYFUNCTION("""COMPUTED_VALUE"""),"劉玲妤")</f>
        <v>劉玲妤</v>
      </c>
      <c r="G49" s="1" t="str">
        <f ca="1">IFERROR(__xludf.DUMMYFUNCTION("""COMPUTED_VALUE"""),"林宣儀")</f>
        <v>林宣儀</v>
      </c>
      <c r="H49" s="1"/>
      <c r="I49" s="1"/>
      <c r="J49" s="1"/>
      <c r="L49" s="1" t="str">
        <f t="shared" ca="1" si="0"/>
        <v>五11</v>
      </c>
    </row>
    <row r="50" spans="1:12" x14ac:dyDescent="0.2">
      <c r="A50" s="1" t="str">
        <f ca="1">IFERROR(__xludf.DUMMYFUNCTION("""COMPUTED_VALUE"""),"六")</f>
        <v>六</v>
      </c>
      <c r="B50" s="1">
        <f ca="1">IFERROR(__xludf.DUMMYFUNCTION("""COMPUTED_VALUE"""),5)</f>
        <v>5</v>
      </c>
      <c r="C50" s="1" t="str">
        <f ca="1">IFERROR(__xludf.DUMMYFUNCTION("""COMPUTED_VALUE"""),"蔡傳德")</f>
        <v>蔡傳德</v>
      </c>
      <c r="D50" s="1" t="str">
        <f ca="1">IFERROR(__xludf.DUMMYFUNCTION("""COMPUTED_VALUE"""),"黃筱晴")</f>
        <v>黃筱晴</v>
      </c>
      <c r="E50" s="1" t="str">
        <f ca="1">IFERROR(__xludf.DUMMYFUNCTION("""COMPUTED_VALUE"""),"張淽涵")</f>
        <v>張淽涵</v>
      </c>
      <c r="F50" s="1" t="str">
        <f ca="1">IFERROR(__xludf.DUMMYFUNCTION("""COMPUTED_VALUE"""),"黃芊錚")</f>
        <v>黃芊錚</v>
      </c>
      <c r="G50" s="1" t="str">
        <f ca="1">IFERROR(__xludf.DUMMYFUNCTION("""COMPUTED_VALUE"""),"宋心予")</f>
        <v>宋心予</v>
      </c>
      <c r="H50" s="1"/>
      <c r="I50" s="1"/>
      <c r="J50" s="1"/>
      <c r="L50" s="1" t="str">
        <f t="shared" ca="1" si="0"/>
        <v>六5</v>
      </c>
    </row>
    <row r="51" spans="1:12" x14ac:dyDescent="0.2">
      <c r="A51" s="1" t="str">
        <f ca="1">IFERROR(__xludf.DUMMYFUNCTION("""COMPUTED_VALUE"""),"六")</f>
        <v>六</v>
      </c>
      <c r="B51" s="1">
        <f ca="1">IFERROR(__xludf.DUMMYFUNCTION("""COMPUTED_VALUE"""),1)</f>
        <v>1</v>
      </c>
      <c r="C51" s="1" t="str">
        <f ca="1">IFERROR(__xludf.DUMMYFUNCTION("""COMPUTED_VALUE"""),"蘇昱誠")</f>
        <v>蘇昱誠</v>
      </c>
      <c r="D51" s="1" t="str">
        <f ca="1">IFERROR(__xludf.DUMMYFUNCTION("""COMPUTED_VALUE"""),"潘政安")</f>
        <v>潘政安</v>
      </c>
      <c r="E51" s="1" t="str">
        <f ca="1">IFERROR(__xludf.DUMMYFUNCTION("""COMPUTED_VALUE"""),"方絜稜")</f>
        <v>方絜稜</v>
      </c>
      <c r="F51" s="1" t="str">
        <f ca="1">IFERROR(__xludf.DUMMYFUNCTION("""COMPUTED_VALUE"""),"林子榆")</f>
        <v>林子榆</v>
      </c>
      <c r="G51" s="1" t="str">
        <f ca="1">IFERROR(__xludf.DUMMYFUNCTION("""COMPUTED_VALUE"""),"張庭芝")</f>
        <v>張庭芝</v>
      </c>
      <c r="H51" s="1"/>
      <c r="I51" s="1"/>
      <c r="J51" s="1"/>
      <c r="L51" s="1" t="str">
        <f t="shared" ca="1" si="0"/>
        <v>六1</v>
      </c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L52" s="1" t="str">
        <f t="shared" si="0"/>
        <v/>
      </c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 t="str">
        <f t="shared" si="0"/>
        <v/>
      </c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 t="str">
        <f t="shared" si="0"/>
        <v/>
      </c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 t="str">
        <f t="shared" si="0"/>
        <v/>
      </c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 t="str">
        <f t="shared" si="0"/>
        <v/>
      </c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 t="str">
        <f t="shared" si="0"/>
        <v/>
      </c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 t="str">
        <f t="shared" si="0"/>
        <v/>
      </c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 t="str">
        <f t="shared" si="0"/>
        <v/>
      </c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 t="str">
        <f t="shared" si="0"/>
        <v/>
      </c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 t="str">
        <f t="shared" si="0"/>
        <v/>
      </c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 t="str">
        <f t="shared" si="0"/>
        <v/>
      </c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 t="str">
        <f t="shared" si="0"/>
        <v/>
      </c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 t="str">
        <f t="shared" si="0"/>
        <v/>
      </c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 t="str">
        <f t="shared" si="0"/>
        <v/>
      </c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 t="str">
        <f t="shared" si="0"/>
        <v/>
      </c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 t="str">
        <f t="shared" si="0"/>
        <v/>
      </c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 t="str">
        <f t="shared" si="0"/>
        <v/>
      </c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 t="str">
        <f t="shared" si="0"/>
        <v/>
      </c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 t="str">
        <f t="shared" si="0"/>
        <v/>
      </c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 t="str">
        <f t="shared" si="0"/>
        <v/>
      </c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 t="str">
        <f t="shared" si="0"/>
        <v/>
      </c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 t="str">
        <f t="shared" si="0"/>
        <v/>
      </c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 t="str">
        <f t="shared" si="0"/>
        <v/>
      </c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 t="str">
        <f t="shared" si="0"/>
        <v/>
      </c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 t="str">
        <f t="shared" si="0"/>
        <v/>
      </c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 t="str">
        <f t="shared" si="0"/>
        <v/>
      </c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 t="str">
        <f t="shared" si="0"/>
        <v/>
      </c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 t="str">
        <f t="shared" si="0"/>
        <v/>
      </c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 t="str">
        <f t="shared" si="0"/>
        <v/>
      </c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 t="str">
        <f t="shared" si="0"/>
        <v/>
      </c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 t="str">
        <f t="shared" si="0"/>
        <v/>
      </c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 t="str">
        <f t="shared" si="0"/>
        <v/>
      </c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 t="str">
        <f t="shared" si="0"/>
        <v/>
      </c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 t="str">
        <f t="shared" si="0"/>
        <v/>
      </c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 t="str">
        <f t="shared" si="0"/>
        <v/>
      </c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 t="str">
        <f t="shared" si="0"/>
        <v/>
      </c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 t="str">
        <f t="shared" si="0"/>
        <v/>
      </c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 t="str">
        <f t="shared" si="0"/>
        <v/>
      </c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 t="str">
        <f t="shared" si="0"/>
        <v/>
      </c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 t="str">
        <f t="shared" si="0"/>
        <v/>
      </c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 t="str">
        <f t="shared" si="0"/>
        <v/>
      </c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 t="str">
        <f t="shared" si="0"/>
        <v/>
      </c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 t="str">
        <f t="shared" si="0"/>
        <v/>
      </c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 t="str">
        <f t="shared" si="0"/>
        <v/>
      </c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 t="str">
        <f t="shared" si="0"/>
        <v/>
      </c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 t="str">
        <f t="shared" si="0"/>
        <v/>
      </c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 t="str">
        <f t="shared" si="0"/>
        <v/>
      </c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 t="str">
        <f t="shared" si="0"/>
        <v/>
      </c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 t="str">
        <f t="shared" si="0"/>
        <v/>
      </c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 t="str">
        <f t="shared" si="0"/>
        <v/>
      </c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 t="str">
        <f t="shared" si="0"/>
        <v/>
      </c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 t="str">
        <f t="shared" si="0"/>
        <v/>
      </c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 t="str">
        <f t="shared" si="0"/>
        <v/>
      </c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 t="str">
        <f t="shared" si="0"/>
        <v/>
      </c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 t="str">
        <f t="shared" si="0"/>
        <v/>
      </c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 t="str">
        <f t="shared" si="0"/>
        <v/>
      </c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 t="str">
        <f t="shared" si="0"/>
        <v/>
      </c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 t="str">
        <f t="shared" si="0"/>
        <v/>
      </c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 t="str">
        <f t="shared" si="0"/>
        <v/>
      </c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 t="str">
        <f t="shared" si="0"/>
        <v/>
      </c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 t="str">
        <f t="shared" si="0"/>
        <v/>
      </c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 t="str">
        <f t="shared" si="0"/>
        <v/>
      </c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 t="str">
        <f t="shared" si="0"/>
        <v/>
      </c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 t="str">
        <f t="shared" si="0"/>
        <v/>
      </c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 t="str">
        <f t="shared" si="0"/>
        <v/>
      </c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 t="str">
        <f t="shared" si="0"/>
        <v/>
      </c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 t="str">
        <f t="shared" si="0"/>
        <v/>
      </c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 t="str">
        <f t="shared" si="0"/>
        <v/>
      </c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 t="str">
        <f t="shared" si="0"/>
        <v/>
      </c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 t="str">
        <f t="shared" si="0"/>
        <v/>
      </c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 t="str">
        <f t="shared" si="0"/>
        <v/>
      </c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 t="str">
        <f t="shared" si="0"/>
        <v/>
      </c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 t="str">
        <f t="shared" si="0"/>
        <v/>
      </c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 t="str">
        <f t="shared" si="0"/>
        <v/>
      </c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 t="str">
        <f t="shared" si="0"/>
        <v/>
      </c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 t="str">
        <f t="shared" si="0"/>
        <v/>
      </c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 t="str">
        <f t="shared" si="0"/>
        <v/>
      </c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79"/>
  <sheetViews>
    <sheetView workbookViewId="0"/>
  </sheetViews>
  <sheetFormatPr defaultColWidth="14.42578125" defaultRowHeight="15.75" customHeight="1" x14ac:dyDescent="0.2"/>
  <sheetData>
    <row r="1" spans="1:11" x14ac:dyDescent="0.2">
      <c r="A1" s="3" t="s">
        <v>1</v>
      </c>
      <c r="B1" s="3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261</v>
      </c>
      <c r="I1" s="1" t="s">
        <v>262</v>
      </c>
      <c r="J1" s="1" t="s">
        <v>263</v>
      </c>
      <c r="K1" s="1" t="s">
        <v>264</v>
      </c>
    </row>
    <row r="2" spans="1:11" x14ac:dyDescent="0.2">
      <c r="A2" s="3" t="s">
        <v>265</v>
      </c>
      <c r="B2" s="3">
        <v>1</v>
      </c>
      <c r="C2" s="1" t="str">
        <f ca="1">IFERROR(OFFSET(彙整表!C$1,MATCH($A2&amp;$B2,彙整表!$L$2:$L$79,0),0),"")</f>
        <v/>
      </c>
      <c r="D2" s="1" t="str">
        <f ca="1">IFERROR(OFFSET(彙整表!D$1,MATCH($A2&amp;$B2,彙整表!$L$2:$L$79,0),0),"")</f>
        <v/>
      </c>
      <c r="E2" s="1" t="str">
        <f ca="1">IFERROR(OFFSET(彙整表!E$1,MATCH($A2&amp;$B2,彙整表!$L$2:$L$79,0),0),"")</f>
        <v/>
      </c>
      <c r="F2" s="1" t="str">
        <f ca="1">IFERROR(OFFSET(彙整表!F$1,MATCH($A2&amp;$B2,彙整表!$L$2:$L$79,0),0),"")</f>
        <v/>
      </c>
      <c r="G2" s="1" t="str">
        <f ca="1">IFERROR(OFFSET(彙整表!G$1,MATCH($A2&amp;$B2,彙整表!$L$2:$L$79,0),0),"")</f>
        <v/>
      </c>
      <c r="H2" s="1" t="str">
        <f ca="1">IFERROR(OFFSET(彙整表!H$1,MATCH($A2&amp;$B2,彙整表!$L$2:$L$79,0),0),"")</f>
        <v/>
      </c>
      <c r="I2" s="1" t="str">
        <f ca="1">IFERROR(OFFSET(彙整表!I$1,MATCH($A2&amp;$B2,彙整表!$L$2:$L$79,0),0),"")</f>
        <v/>
      </c>
      <c r="J2" s="1" t="str">
        <f ca="1">IFERROR(OFFSET(彙整表!J$1,MATCH($A2&amp;$B2,彙整表!$L$2:$L$79,0),0),"")</f>
        <v/>
      </c>
      <c r="K2" s="1" t="str">
        <f ca="1">IFERROR(OFFSET(彙整表!K$1,MATCH($A2&amp;$B2,彙整表!$L$2:$L$79,0),0),"")</f>
        <v/>
      </c>
    </row>
    <row r="3" spans="1:11" x14ac:dyDescent="0.2">
      <c r="A3" s="3" t="s">
        <v>265</v>
      </c>
      <c r="B3" s="3">
        <v>2</v>
      </c>
      <c r="C3" s="1" t="str">
        <f ca="1">IFERROR(OFFSET(彙整表!C$1,MATCH($A3&amp;$B3,彙整表!$L$2:$L$79,0),0),"")</f>
        <v/>
      </c>
      <c r="D3" s="1" t="str">
        <f ca="1">IFERROR(OFFSET(彙整表!D$1,MATCH($A3&amp;$B3,彙整表!$L$2:$L$79,0),0),"")</f>
        <v/>
      </c>
      <c r="E3" s="1" t="str">
        <f ca="1">IFERROR(OFFSET(彙整表!E$1,MATCH($A3&amp;$B3,彙整表!$L$2:$L$79,0),0),"")</f>
        <v/>
      </c>
      <c r="F3" s="1" t="str">
        <f ca="1">IFERROR(OFFSET(彙整表!F$1,MATCH($A3&amp;$B3,彙整表!$L$2:$L$79,0),0),"")</f>
        <v/>
      </c>
      <c r="G3" s="1" t="str">
        <f ca="1">IFERROR(OFFSET(彙整表!G$1,MATCH($A3&amp;$B3,彙整表!$L$2:$L$79,0),0),"")</f>
        <v/>
      </c>
      <c r="H3" s="1" t="str">
        <f ca="1">IFERROR(OFFSET(彙整表!H$1,MATCH($A3&amp;$B3,彙整表!$L$2:$L$79,0),0),"")</f>
        <v/>
      </c>
      <c r="I3" s="1" t="str">
        <f ca="1">IFERROR(OFFSET(彙整表!I$1,MATCH($A3&amp;$B3,彙整表!$L$2:$L$79,0),0),"")</f>
        <v/>
      </c>
      <c r="J3" s="1" t="str">
        <f ca="1">IFERROR(OFFSET(彙整表!J$1,MATCH($A3&amp;$B3,彙整表!$L$2:$L$79,0),0),"")</f>
        <v/>
      </c>
      <c r="K3" s="1" t="str">
        <f ca="1">IFERROR(OFFSET(彙整表!K$1,MATCH($A3&amp;$B3,彙整表!$L$2:$L$79,0),0),"")</f>
        <v/>
      </c>
    </row>
    <row r="4" spans="1:11" x14ac:dyDescent="0.2">
      <c r="A4" s="3" t="s">
        <v>265</v>
      </c>
      <c r="B4" s="3">
        <v>3</v>
      </c>
      <c r="C4" s="1" t="str">
        <f ca="1">IFERROR(OFFSET(彙整表!C$1,MATCH($A4&amp;$B4,彙整表!$L$2:$L$79,0),0),"")</f>
        <v/>
      </c>
      <c r="D4" s="1" t="str">
        <f ca="1">IFERROR(OFFSET(彙整表!D$1,MATCH($A4&amp;$B4,彙整表!$L$2:$L$79,0),0),"")</f>
        <v/>
      </c>
      <c r="E4" s="1" t="str">
        <f ca="1">IFERROR(OFFSET(彙整表!E$1,MATCH($A4&amp;$B4,彙整表!$L$2:$L$79,0),0),"")</f>
        <v/>
      </c>
      <c r="F4" s="1" t="str">
        <f ca="1">IFERROR(OFFSET(彙整表!F$1,MATCH($A4&amp;$B4,彙整表!$L$2:$L$79,0),0),"")</f>
        <v/>
      </c>
      <c r="G4" s="1" t="str">
        <f ca="1">IFERROR(OFFSET(彙整表!G$1,MATCH($A4&amp;$B4,彙整表!$L$2:$L$79,0),0),"")</f>
        <v/>
      </c>
      <c r="H4" s="1" t="str">
        <f ca="1">IFERROR(OFFSET(彙整表!H$1,MATCH($A4&amp;$B4,彙整表!$L$2:$L$79,0),0),"")</f>
        <v/>
      </c>
      <c r="I4" s="1" t="str">
        <f ca="1">IFERROR(OFFSET(彙整表!I$1,MATCH($A4&amp;$B4,彙整表!$L$2:$L$79,0),0),"")</f>
        <v/>
      </c>
      <c r="J4" s="1" t="str">
        <f ca="1">IFERROR(OFFSET(彙整表!J$1,MATCH($A4&amp;$B4,彙整表!$L$2:$L$79,0),0),"")</f>
        <v/>
      </c>
      <c r="K4" s="1" t="str">
        <f ca="1">IFERROR(OFFSET(彙整表!K$1,MATCH($A4&amp;$B4,彙整表!$L$2:$L$79,0),0),"")</f>
        <v/>
      </c>
    </row>
    <row r="5" spans="1:11" x14ac:dyDescent="0.2">
      <c r="A5" s="3" t="s">
        <v>265</v>
      </c>
      <c r="B5" s="3">
        <v>4</v>
      </c>
      <c r="C5" s="1" t="str">
        <f ca="1">IFERROR(OFFSET(彙整表!C$1,MATCH($A5&amp;$B5,彙整表!$L$2:$L$79,0),0),"")</f>
        <v/>
      </c>
      <c r="D5" s="1" t="str">
        <f ca="1">IFERROR(OFFSET(彙整表!D$1,MATCH($A5&amp;$B5,彙整表!$L$2:$L$79,0),0),"")</f>
        <v/>
      </c>
      <c r="E5" s="1" t="str">
        <f ca="1">IFERROR(OFFSET(彙整表!E$1,MATCH($A5&amp;$B5,彙整表!$L$2:$L$79,0),0),"")</f>
        <v/>
      </c>
      <c r="F5" s="1" t="str">
        <f ca="1">IFERROR(OFFSET(彙整表!F$1,MATCH($A5&amp;$B5,彙整表!$L$2:$L$79,0),0),"")</f>
        <v/>
      </c>
      <c r="G5" s="1" t="str">
        <f ca="1">IFERROR(OFFSET(彙整表!G$1,MATCH($A5&amp;$B5,彙整表!$L$2:$L$79,0),0),"")</f>
        <v/>
      </c>
      <c r="H5" s="1" t="str">
        <f ca="1">IFERROR(OFFSET(彙整表!H$1,MATCH($A5&amp;$B5,彙整表!$L$2:$L$79,0),0),"")</f>
        <v/>
      </c>
      <c r="I5" s="1" t="str">
        <f ca="1">IFERROR(OFFSET(彙整表!I$1,MATCH($A5&amp;$B5,彙整表!$L$2:$L$79,0),0),"")</f>
        <v/>
      </c>
      <c r="J5" s="1" t="str">
        <f ca="1">IFERROR(OFFSET(彙整表!J$1,MATCH($A5&amp;$B5,彙整表!$L$2:$L$79,0),0),"")</f>
        <v/>
      </c>
      <c r="K5" s="1" t="str">
        <f ca="1">IFERROR(OFFSET(彙整表!K$1,MATCH($A5&amp;$B5,彙整表!$L$2:$L$79,0),0),"")</f>
        <v/>
      </c>
    </row>
    <row r="6" spans="1:11" x14ac:dyDescent="0.2">
      <c r="A6" s="3" t="s">
        <v>265</v>
      </c>
      <c r="B6" s="3">
        <v>5</v>
      </c>
      <c r="C6" s="1" t="str">
        <f ca="1">IFERROR(OFFSET(彙整表!C$1,MATCH($A6&amp;$B6,彙整表!$L$2:$L$79,0),0),"")</f>
        <v/>
      </c>
      <c r="D6" s="1" t="str">
        <f ca="1">IFERROR(OFFSET(彙整表!D$1,MATCH($A6&amp;$B6,彙整表!$L$2:$L$79,0),0),"")</f>
        <v/>
      </c>
      <c r="E6" s="1" t="str">
        <f ca="1">IFERROR(OFFSET(彙整表!E$1,MATCH($A6&amp;$B6,彙整表!$L$2:$L$79,0),0),"")</f>
        <v/>
      </c>
      <c r="F6" s="1" t="str">
        <f ca="1">IFERROR(OFFSET(彙整表!F$1,MATCH($A6&amp;$B6,彙整表!$L$2:$L$79,0),0),"")</f>
        <v/>
      </c>
      <c r="G6" s="1" t="str">
        <f ca="1">IFERROR(OFFSET(彙整表!G$1,MATCH($A6&amp;$B6,彙整表!$L$2:$L$79,0),0),"")</f>
        <v/>
      </c>
      <c r="H6" s="1" t="str">
        <f ca="1">IFERROR(OFFSET(彙整表!H$1,MATCH($A6&amp;$B6,彙整表!$L$2:$L$79,0),0),"")</f>
        <v/>
      </c>
      <c r="I6" s="1" t="str">
        <f ca="1">IFERROR(OFFSET(彙整表!I$1,MATCH($A6&amp;$B6,彙整表!$L$2:$L$79,0),0),"")</f>
        <v/>
      </c>
      <c r="J6" s="1" t="str">
        <f ca="1">IFERROR(OFFSET(彙整表!J$1,MATCH($A6&amp;$B6,彙整表!$L$2:$L$79,0),0),"")</f>
        <v/>
      </c>
      <c r="K6" s="1" t="str">
        <f ca="1">IFERROR(OFFSET(彙整表!K$1,MATCH($A6&amp;$B6,彙整表!$L$2:$L$79,0),0),"")</f>
        <v/>
      </c>
    </row>
    <row r="7" spans="1:11" x14ac:dyDescent="0.2">
      <c r="A7" s="3" t="s">
        <v>265</v>
      </c>
      <c r="B7" s="3">
        <v>6</v>
      </c>
      <c r="C7" s="1" t="str">
        <f ca="1">IFERROR(OFFSET(彙整表!C$1,MATCH($A7&amp;$B7,彙整表!$L$2:$L$79,0),0),"")</f>
        <v/>
      </c>
      <c r="D7" s="1" t="str">
        <f ca="1">IFERROR(OFFSET(彙整表!D$1,MATCH($A7&amp;$B7,彙整表!$L$2:$L$79,0),0),"")</f>
        <v/>
      </c>
      <c r="E7" s="1" t="str">
        <f ca="1">IFERROR(OFFSET(彙整表!E$1,MATCH($A7&amp;$B7,彙整表!$L$2:$L$79,0),0),"")</f>
        <v/>
      </c>
      <c r="F7" s="1" t="str">
        <f ca="1">IFERROR(OFFSET(彙整表!F$1,MATCH($A7&amp;$B7,彙整表!$L$2:$L$79,0),0),"")</f>
        <v/>
      </c>
      <c r="G7" s="1" t="str">
        <f ca="1">IFERROR(OFFSET(彙整表!G$1,MATCH($A7&amp;$B7,彙整表!$L$2:$L$79,0),0),"")</f>
        <v/>
      </c>
      <c r="H7" s="1" t="str">
        <f ca="1">IFERROR(OFFSET(彙整表!H$1,MATCH($A7&amp;$B7,彙整表!$L$2:$L$79,0),0),"")</f>
        <v/>
      </c>
      <c r="I7" s="1" t="str">
        <f ca="1">IFERROR(OFFSET(彙整表!I$1,MATCH($A7&amp;$B7,彙整表!$L$2:$L$79,0),0),"")</f>
        <v/>
      </c>
      <c r="J7" s="1" t="str">
        <f ca="1">IFERROR(OFFSET(彙整表!J$1,MATCH($A7&amp;$B7,彙整表!$L$2:$L$79,0),0),"")</f>
        <v/>
      </c>
      <c r="K7" s="1" t="str">
        <f ca="1">IFERROR(OFFSET(彙整表!K$1,MATCH($A7&amp;$B7,彙整表!$L$2:$L$79,0),0),"")</f>
        <v/>
      </c>
    </row>
    <row r="8" spans="1:11" x14ac:dyDescent="0.2">
      <c r="A8" s="3" t="s">
        <v>265</v>
      </c>
      <c r="B8" s="3">
        <v>7</v>
      </c>
      <c r="C8" s="1" t="str">
        <f ca="1">IFERROR(OFFSET(彙整表!C$1,MATCH($A8&amp;$B8,彙整表!$L$2:$L$79,0),0),"")</f>
        <v/>
      </c>
      <c r="D8" s="1" t="str">
        <f ca="1">IFERROR(OFFSET(彙整表!D$1,MATCH($A8&amp;$B8,彙整表!$L$2:$L$79,0),0),"")</f>
        <v/>
      </c>
      <c r="E8" s="1" t="str">
        <f ca="1">IFERROR(OFFSET(彙整表!E$1,MATCH($A8&amp;$B8,彙整表!$L$2:$L$79,0),0),"")</f>
        <v/>
      </c>
      <c r="F8" s="1" t="str">
        <f ca="1">IFERROR(OFFSET(彙整表!F$1,MATCH($A8&amp;$B8,彙整表!$L$2:$L$79,0),0),"")</f>
        <v/>
      </c>
      <c r="G8" s="1" t="str">
        <f ca="1">IFERROR(OFFSET(彙整表!G$1,MATCH($A8&amp;$B8,彙整表!$L$2:$L$79,0),0),"")</f>
        <v/>
      </c>
      <c r="H8" s="1" t="str">
        <f ca="1">IFERROR(OFFSET(彙整表!H$1,MATCH($A8&amp;$B8,彙整表!$L$2:$L$79,0),0),"")</f>
        <v/>
      </c>
      <c r="I8" s="1" t="str">
        <f ca="1">IFERROR(OFFSET(彙整表!I$1,MATCH($A8&amp;$B8,彙整表!$L$2:$L$79,0),0),"")</f>
        <v/>
      </c>
      <c r="J8" s="1" t="str">
        <f ca="1">IFERROR(OFFSET(彙整表!J$1,MATCH($A8&amp;$B8,彙整表!$L$2:$L$79,0),0),"")</f>
        <v/>
      </c>
      <c r="K8" s="1" t="str">
        <f ca="1">IFERROR(OFFSET(彙整表!K$1,MATCH($A8&amp;$B8,彙整表!$L$2:$L$79,0),0),"")</f>
        <v/>
      </c>
    </row>
    <row r="9" spans="1:11" x14ac:dyDescent="0.2">
      <c r="A9" s="3" t="s">
        <v>265</v>
      </c>
      <c r="B9" s="3">
        <v>8</v>
      </c>
      <c r="C9" s="1" t="str">
        <f ca="1">IFERROR(OFFSET(彙整表!C$1,MATCH($A9&amp;$B9,彙整表!$L$2:$L$79,0),0),"")</f>
        <v/>
      </c>
      <c r="D9" s="1" t="str">
        <f ca="1">IFERROR(OFFSET(彙整表!D$1,MATCH($A9&amp;$B9,彙整表!$L$2:$L$79,0),0),"")</f>
        <v/>
      </c>
      <c r="E9" s="1" t="str">
        <f ca="1">IFERROR(OFFSET(彙整表!E$1,MATCH($A9&amp;$B9,彙整表!$L$2:$L$79,0),0),"")</f>
        <v/>
      </c>
      <c r="F9" s="1" t="str">
        <f ca="1">IFERROR(OFFSET(彙整表!F$1,MATCH($A9&amp;$B9,彙整表!$L$2:$L$79,0),0),"")</f>
        <v/>
      </c>
      <c r="G9" s="1" t="str">
        <f ca="1">IFERROR(OFFSET(彙整表!G$1,MATCH($A9&amp;$B9,彙整表!$L$2:$L$79,0),0),"")</f>
        <v/>
      </c>
      <c r="H9" s="1" t="str">
        <f ca="1">IFERROR(OFFSET(彙整表!H$1,MATCH($A9&amp;$B9,彙整表!$L$2:$L$79,0),0),"")</f>
        <v/>
      </c>
      <c r="I9" s="1" t="str">
        <f ca="1">IFERROR(OFFSET(彙整表!I$1,MATCH($A9&amp;$B9,彙整表!$L$2:$L$79,0),0),"")</f>
        <v/>
      </c>
      <c r="J9" s="1" t="str">
        <f ca="1">IFERROR(OFFSET(彙整表!J$1,MATCH($A9&amp;$B9,彙整表!$L$2:$L$79,0),0),"")</f>
        <v/>
      </c>
      <c r="K9" s="1" t="str">
        <f ca="1">IFERROR(OFFSET(彙整表!K$1,MATCH($A9&amp;$B9,彙整表!$L$2:$L$79,0),0),"")</f>
        <v/>
      </c>
    </row>
    <row r="10" spans="1:11" x14ac:dyDescent="0.2">
      <c r="A10" s="3" t="s">
        <v>265</v>
      </c>
      <c r="B10" s="3">
        <v>9</v>
      </c>
      <c r="C10" s="1" t="str">
        <f ca="1">IFERROR(OFFSET(彙整表!C$1,MATCH($A10&amp;$B10,彙整表!$L$2:$L$79,0),0),"")</f>
        <v/>
      </c>
      <c r="D10" s="1" t="str">
        <f ca="1">IFERROR(OFFSET(彙整表!D$1,MATCH($A10&amp;$B10,彙整表!$L$2:$L$79,0),0),"")</f>
        <v/>
      </c>
      <c r="E10" s="1" t="str">
        <f ca="1">IFERROR(OFFSET(彙整表!E$1,MATCH($A10&amp;$B10,彙整表!$L$2:$L$79,0),0),"")</f>
        <v/>
      </c>
      <c r="F10" s="1" t="str">
        <f ca="1">IFERROR(OFFSET(彙整表!F$1,MATCH($A10&amp;$B10,彙整表!$L$2:$L$79,0),0),"")</f>
        <v/>
      </c>
      <c r="G10" s="1" t="str">
        <f ca="1">IFERROR(OFFSET(彙整表!G$1,MATCH($A10&amp;$B10,彙整表!$L$2:$L$79,0),0),"")</f>
        <v/>
      </c>
      <c r="H10" s="1" t="str">
        <f ca="1">IFERROR(OFFSET(彙整表!H$1,MATCH($A10&amp;$B10,彙整表!$L$2:$L$79,0),0),"")</f>
        <v/>
      </c>
      <c r="I10" s="1" t="str">
        <f ca="1">IFERROR(OFFSET(彙整表!I$1,MATCH($A10&amp;$B10,彙整表!$L$2:$L$79,0),0),"")</f>
        <v/>
      </c>
      <c r="J10" s="1" t="str">
        <f ca="1">IFERROR(OFFSET(彙整表!J$1,MATCH($A10&amp;$B10,彙整表!$L$2:$L$79,0),0),"")</f>
        <v/>
      </c>
      <c r="K10" s="1" t="str">
        <f ca="1">IFERROR(OFFSET(彙整表!K$1,MATCH($A10&amp;$B10,彙整表!$L$2:$L$79,0),0),"")</f>
        <v/>
      </c>
    </row>
    <row r="11" spans="1:11" x14ac:dyDescent="0.2">
      <c r="A11" s="3" t="s">
        <v>265</v>
      </c>
      <c r="B11" s="3">
        <v>10</v>
      </c>
      <c r="C11" s="1" t="str">
        <f ca="1">IFERROR(OFFSET(彙整表!C$1,MATCH($A11&amp;$B11,彙整表!$L$2:$L$79,0),0),"")</f>
        <v/>
      </c>
      <c r="D11" s="1" t="str">
        <f ca="1">IFERROR(OFFSET(彙整表!D$1,MATCH($A11&amp;$B11,彙整表!$L$2:$L$79,0),0),"")</f>
        <v/>
      </c>
      <c r="E11" s="1" t="str">
        <f ca="1">IFERROR(OFFSET(彙整表!E$1,MATCH($A11&amp;$B11,彙整表!$L$2:$L$79,0),0),"")</f>
        <v/>
      </c>
      <c r="F11" s="1" t="str">
        <f ca="1">IFERROR(OFFSET(彙整表!F$1,MATCH($A11&amp;$B11,彙整表!$L$2:$L$79,0),0),"")</f>
        <v/>
      </c>
      <c r="G11" s="1" t="str">
        <f ca="1">IFERROR(OFFSET(彙整表!G$1,MATCH($A11&amp;$B11,彙整表!$L$2:$L$79,0),0),"")</f>
        <v/>
      </c>
      <c r="H11" s="1" t="str">
        <f ca="1">IFERROR(OFFSET(彙整表!H$1,MATCH($A11&amp;$B11,彙整表!$L$2:$L$79,0),0),"")</f>
        <v/>
      </c>
      <c r="I11" s="1" t="str">
        <f ca="1">IFERROR(OFFSET(彙整表!I$1,MATCH($A11&amp;$B11,彙整表!$L$2:$L$79,0),0),"")</f>
        <v/>
      </c>
      <c r="J11" s="1" t="str">
        <f ca="1">IFERROR(OFFSET(彙整表!J$1,MATCH($A11&amp;$B11,彙整表!$L$2:$L$79,0),0),"")</f>
        <v/>
      </c>
      <c r="K11" s="1" t="str">
        <f ca="1">IFERROR(OFFSET(彙整表!K$1,MATCH($A11&amp;$B11,彙整表!$L$2:$L$79,0),0),"")</f>
        <v/>
      </c>
    </row>
    <row r="12" spans="1:11" x14ac:dyDescent="0.2">
      <c r="A12" s="3" t="s">
        <v>265</v>
      </c>
      <c r="B12" s="3">
        <v>11</v>
      </c>
      <c r="C12" s="1" t="str">
        <f ca="1">IFERROR(OFFSET(彙整表!C$1,MATCH($A12&amp;$B12,彙整表!$L$2:$L$79,0),0),"")</f>
        <v/>
      </c>
      <c r="D12" s="1" t="str">
        <f ca="1">IFERROR(OFFSET(彙整表!D$1,MATCH($A12&amp;$B12,彙整表!$L$2:$L$79,0),0),"")</f>
        <v/>
      </c>
      <c r="E12" s="1" t="str">
        <f ca="1">IFERROR(OFFSET(彙整表!E$1,MATCH($A12&amp;$B12,彙整表!$L$2:$L$79,0),0),"")</f>
        <v/>
      </c>
      <c r="F12" s="1" t="str">
        <f ca="1">IFERROR(OFFSET(彙整表!F$1,MATCH($A12&amp;$B12,彙整表!$L$2:$L$79,0),0),"")</f>
        <v/>
      </c>
      <c r="G12" s="1" t="str">
        <f ca="1">IFERROR(OFFSET(彙整表!G$1,MATCH($A12&amp;$B12,彙整表!$L$2:$L$79,0),0),"")</f>
        <v/>
      </c>
      <c r="H12" s="1" t="str">
        <f ca="1">IFERROR(OFFSET(彙整表!H$1,MATCH($A12&amp;$B12,彙整表!$L$2:$L$79,0),0),"")</f>
        <v/>
      </c>
      <c r="I12" s="1" t="str">
        <f ca="1">IFERROR(OFFSET(彙整表!I$1,MATCH($A12&amp;$B12,彙整表!$L$2:$L$79,0),0),"")</f>
        <v/>
      </c>
      <c r="J12" s="1" t="str">
        <f ca="1">IFERROR(OFFSET(彙整表!J$1,MATCH($A12&amp;$B12,彙整表!$L$2:$L$79,0),0),"")</f>
        <v/>
      </c>
      <c r="K12" s="1" t="str">
        <f ca="1">IFERROR(OFFSET(彙整表!K$1,MATCH($A12&amp;$B12,彙整表!$L$2:$L$79,0),0),"")</f>
        <v/>
      </c>
    </row>
    <row r="13" spans="1:11" x14ac:dyDescent="0.2">
      <c r="A13" s="3" t="s">
        <v>265</v>
      </c>
      <c r="B13" s="3">
        <v>12</v>
      </c>
      <c r="C13" s="1" t="str">
        <f ca="1">IFERROR(OFFSET(彙整表!C$1,MATCH($A13&amp;$B13,彙整表!$L$2:$L$79,0),0),"")</f>
        <v/>
      </c>
      <c r="D13" s="1" t="str">
        <f ca="1">IFERROR(OFFSET(彙整表!D$1,MATCH($A13&amp;$B13,彙整表!$L$2:$L$79,0),0),"")</f>
        <v/>
      </c>
      <c r="E13" s="1" t="str">
        <f ca="1">IFERROR(OFFSET(彙整表!E$1,MATCH($A13&amp;$B13,彙整表!$L$2:$L$79,0),0),"")</f>
        <v/>
      </c>
      <c r="F13" s="1" t="str">
        <f ca="1">IFERROR(OFFSET(彙整表!F$1,MATCH($A13&amp;$B13,彙整表!$L$2:$L$79,0),0),"")</f>
        <v/>
      </c>
      <c r="G13" s="1" t="str">
        <f ca="1">IFERROR(OFFSET(彙整表!G$1,MATCH($A13&amp;$B13,彙整表!$L$2:$L$79,0),0),"")</f>
        <v/>
      </c>
      <c r="H13" s="1" t="str">
        <f ca="1">IFERROR(OFFSET(彙整表!H$1,MATCH($A13&amp;$B13,彙整表!$L$2:$L$79,0),0),"")</f>
        <v/>
      </c>
      <c r="I13" s="1" t="str">
        <f ca="1">IFERROR(OFFSET(彙整表!I$1,MATCH($A13&amp;$B13,彙整表!$L$2:$L$79,0),0),"")</f>
        <v/>
      </c>
      <c r="J13" s="1" t="str">
        <f ca="1">IFERROR(OFFSET(彙整表!J$1,MATCH($A13&amp;$B13,彙整表!$L$2:$L$79,0),0),"")</f>
        <v/>
      </c>
      <c r="K13" s="1" t="str">
        <f ca="1">IFERROR(OFFSET(彙整表!K$1,MATCH($A13&amp;$B13,彙整表!$L$2:$L$79,0),0),"")</f>
        <v/>
      </c>
    </row>
    <row r="14" spans="1:11" x14ac:dyDescent="0.2">
      <c r="A14" s="3" t="s">
        <v>265</v>
      </c>
      <c r="B14" s="3">
        <v>13</v>
      </c>
      <c r="C14" s="1" t="str">
        <f ca="1">IFERROR(OFFSET(彙整表!C$1,MATCH($A14&amp;$B14,彙整表!$L$2:$L$79,0),0),"")</f>
        <v/>
      </c>
      <c r="D14" s="1" t="str">
        <f ca="1">IFERROR(OFFSET(彙整表!D$1,MATCH($A14&amp;$B14,彙整表!$L$2:$L$79,0),0),"")</f>
        <v/>
      </c>
      <c r="E14" s="1" t="str">
        <f ca="1">IFERROR(OFFSET(彙整表!E$1,MATCH($A14&amp;$B14,彙整表!$L$2:$L$79,0),0),"")</f>
        <v/>
      </c>
      <c r="F14" s="1" t="str">
        <f ca="1">IFERROR(OFFSET(彙整表!F$1,MATCH($A14&amp;$B14,彙整表!$L$2:$L$79,0),0),"")</f>
        <v/>
      </c>
      <c r="G14" s="1" t="str">
        <f ca="1">IFERROR(OFFSET(彙整表!G$1,MATCH($A14&amp;$B14,彙整表!$L$2:$L$79,0),0),"")</f>
        <v/>
      </c>
      <c r="H14" s="1" t="str">
        <f ca="1">IFERROR(OFFSET(彙整表!H$1,MATCH($A14&amp;$B14,彙整表!$L$2:$L$79,0),0),"")</f>
        <v/>
      </c>
      <c r="I14" s="1" t="str">
        <f ca="1">IFERROR(OFFSET(彙整表!I$1,MATCH($A14&amp;$B14,彙整表!$L$2:$L$79,0),0),"")</f>
        <v/>
      </c>
      <c r="J14" s="1" t="str">
        <f ca="1">IFERROR(OFFSET(彙整表!J$1,MATCH($A14&amp;$B14,彙整表!$L$2:$L$79,0),0),"")</f>
        <v/>
      </c>
      <c r="K14" s="1" t="str">
        <f ca="1">IFERROR(OFFSET(彙整表!K$1,MATCH($A14&amp;$B14,彙整表!$L$2:$L$79,0),0),"")</f>
        <v/>
      </c>
    </row>
    <row r="15" spans="1:11" x14ac:dyDescent="0.2">
      <c r="A15" s="3" t="s">
        <v>266</v>
      </c>
      <c r="B15" s="3">
        <v>1</v>
      </c>
      <c r="C15" s="1" t="str">
        <f ca="1">IFERROR(OFFSET(彙整表!C$1,MATCH($A15&amp;$B15,彙整表!$L$2:$L$79,0),0),"")</f>
        <v/>
      </c>
      <c r="D15" s="1" t="str">
        <f ca="1">IFERROR(OFFSET(彙整表!D$1,MATCH($A15&amp;$B15,彙整表!$L$2:$L$79,0),0),"")</f>
        <v/>
      </c>
      <c r="E15" s="1" t="str">
        <f ca="1">IFERROR(OFFSET(彙整表!E$1,MATCH($A15&amp;$B15,彙整表!$L$2:$L$79,0),0),"")</f>
        <v/>
      </c>
      <c r="F15" s="1" t="str">
        <f ca="1">IFERROR(OFFSET(彙整表!F$1,MATCH($A15&amp;$B15,彙整表!$L$2:$L$79,0),0),"")</f>
        <v/>
      </c>
      <c r="G15" s="1" t="str">
        <f ca="1">IFERROR(OFFSET(彙整表!G$1,MATCH($A15&amp;$B15,彙整表!$L$2:$L$79,0),0),"")</f>
        <v/>
      </c>
      <c r="H15" s="1" t="str">
        <f ca="1">IFERROR(OFFSET(彙整表!H$1,MATCH($A15&amp;$B15,彙整表!$L$2:$L$79,0),0),"")</f>
        <v/>
      </c>
      <c r="I15" s="1" t="str">
        <f ca="1">IFERROR(OFFSET(彙整表!I$1,MATCH($A15&amp;$B15,彙整表!$L$2:$L$79,0),0),"")</f>
        <v/>
      </c>
      <c r="J15" s="1" t="str">
        <f ca="1">IFERROR(OFFSET(彙整表!J$1,MATCH($A15&amp;$B15,彙整表!$L$2:$L$79,0),0),"")</f>
        <v/>
      </c>
      <c r="K15" s="1" t="str">
        <f ca="1">IFERROR(OFFSET(彙整表!K$1,MATCH($A15&amp;$B15,彙整表!$L$2:$L$79,0),0),"")</f>
        <v/>
      </c>
    </row>
    <row r="16" spans="1:11" x14ac:dyDescent="0.2">
      <c r="A16" s="3" t="s">
        <v>266</v>
      </c>
      <c r="B16" s="3">
        <v>2</v>
      </c>
      <c r="C16" s="1" t="str">
        <f ca="1">IFERROR(OFFSET(彙整表!C$1,MATCH($A16&amp;$B16,彙整表!$L$2:$L$79,0),0),"")</f>
        <v/>
      </c>
      <c r="D16" s="1" t="str">
        <f ca="1">IFERROR(OFFSET(彙整表!D$1,MATCH($A16&amp;$B16,彙整表!$L$2:$L$79,0),0),"")</f>
        <v/>
      </c>
      <c r="E16" s="1" t="str">
        <f ca="1">IFERROR(OFFSET(彙整表!E$1,MATCH($A16&amp;$B16,彙整表!$L$2:$L$79,0),0),"")</f>
        <v/>
      </c>
      <c r="F16" s="1" t="str">
        <f ca="1">IFERROR(OFFSET(彙整表!F$1,MATCH($A16&amp;$B16,彙整表!$L$2:$L$79,0),0),"")</f>
        <v/>
      </c>
      <c r="G16" s="1" t="str">
        <f ca="1">IFERROR(OFFSET(彙整表!G$1,MATCH($A16&amp;$B16,彙整表!$L$2:$L$79,0),0),"")</f>
        <v/>
      </c>
      <c r="H16" s="1" t="str">
        <f ca="1">IFERROR(OFFSET(彙整表!H$1,MATCH($A16&amp;$B16,彙整表!$L$2:$L$79,0),0),"")</f>
        <v/>
      </c>
      <c r="I16" s="1" t="str">
        <f ca="1">IFERROR(OFFSET(彙整表!I$1,MATCH($A16&amp;$B16,彙整表!$L$2:$L$79,0),0),"")</f>
        <v/>
      </c>
      <c r="J16" s="1" t="str">
        <f ca="1">IFERROR(OFFSET(彙整表!J$1,MATCH($A16&amp;$B16,彙整表!$L$2:$L$79,0),0),"")</f>
        <v/>
      </c>
      <c r="K16" s="1" t="str">
        <f ca="1">IFERROR(OFFSET(彙整表!K$1,MATCH($A16&amp;$B16,彙整表!$L$2:$L$79,0),0),"")</f>
        <v/>
      </c>
    </row>
    <row r="17" spans="1:11" x14ac:dyDescent="0.2">
      <c r="A17" s="3" t="s">
        <v>266</v>
      </c>
      <c r="B17" s="3">
        <v>3</v>
      </c>
      <c r="C17" s="1" t="str">
        <f ca="1">IFERROR(OFFSET(彙整表!C$1,MATCH($A17&amp;$B17,彙整表!$L$2:$L$79,0),0),"")</f>
        <v/>
      </c>
      <c r="D17" s="1" t="str">
        <f ca="1">IFERROR(OFFSET(彙整表!D$1,MATCH($A17&amp;$B17,彙整表!$L$2:$L$79,0),0),"")</f>
        <v/>
      </c>
      <c r="E17" s="1" t="str">
        <f ca="1">IFERROR(OFFSET(彙整表!E$1,MATCH($A17&amp;$B17,彙整表!$L$2:$L$79,0),0),"")</f>
        <v/>
      </c>
      <c r="F17" s="1" t="str">
        <f ca="1">IFERROR(OFFSET(彙整表!F$1,MATCH($A17&amp;$B17,彙整表!$L$2:$L$79,0),0),"")</f>
        <v/>
      </c>
      <c r="G17" s="1" t="str">
        <f ca="1">IFERROR(OFFSET(彙整表!G$1,MATCH($A17&amp;$B17,彙整表!$L$2:$L$79,0),0),"")</f>
        <v/>
      </c>
      <c r="H17" s="1" t="str">
        <f ca="1">IFERROR(OFFSET(彙整表!H$1,MATCH($A17&amp;$B17,彙整表!$L$2:$L$79,0),0),"")</f>
        <v/>
      </c>
      <c r="I17" s="1" t="str">
        <f ca="1">IFERROR(OFFSET(彙整表!I$1,MATCH($A17&amp;$B17,彙整表!$L$2:$L$79,0),0),"")</f>
        <v/>
      </c>
      <c r="J17" s="1" t="str">
        <f ca="1">IFERROR(OFFSET(彙整表!J$1,MATCH($A17&amp;$B17,彙整表!$L$2:$L$79,0),0),"")</f>
        <v/>
      </c>
      <c r="K17" s="1" t="str">
        <f ca="1">IFERROR(OFFSET(彙整表!K$1,MATCH($A17&amp;$B17,彙整表!$L$2:$L$79,0),0),"")</f>
        <v/>
      </c>
    </row>
    <row r="18" spans="1:11" x14ac:dyDescent="0.2">
      <c r="A18" s="3" t="s">
        <v>266</v>
      </c>
      <c r="B18" s="3">
        <v>4</v>
      </c>
      <c r="C18" s="1" t="str">
        <f ca="1">IFERROR(OFFSET(彙整表!C$1,MATCH($A18&amp;$B18,彙整表!$L$2:$L$79,0),0),"")</f>
        <v/>
      </c>
      <c r="D18" s="1" t="str">
        <f ca="1">IFERROR(OFFSET(彙整表!D$1,MATCH($A18&amp;$B18,彙整表!$L$2:$L$79,0),0),"")</f>
        <v/>
      </c>
      <c r="E18" s="1" t="str">
        <f ca="1">IFERROR(OFFSET(彙整表!E$1,MATCH($A18&amp;$B18,彙整表!$L$2:$L$79,0),0),"")</f>
        <v/>
      </c>
      <c r="F18" s="1" t="str">
        <f ca="1">IFERROR(OFFSET(彙整表!F$1,MATCH($A18&amp;$B18,彙整表!$L$2:$L$79,0),0),"")</f>
        <v/>
      </c>
      <c r="G18" s="1" t="str">
        <f ca="1">IFERROR(OFFSET(彙整表!G$1,MATCH($A18&amp;$B18,彙整表!$L$2:$L$79,0),0),"")</f>
        <v/>
      </c>
      <c r="H18" s="1" t="str">
        <f ca="1">IFERROR(OFFSET(彙整表!H$1,MATCH($A18&amp;$B18,彙整表!$L$2:$L$79,0),0),"")</f>
        <v/>
      </c>
      <c r="I18" s="1" t="str">
        <f ca="1">IFERROR(OFFSET(彙整表!I$1,MATCH($A18&amp;$B18,彙整表!$L$2:$L$79,0),0),"")</f>
        <v/>
      </c>
      <c r="J18" s="1" t="str">
        <f ca="1">IFERROR(OFFSET(彙整表!J$1,MATCH($A18&amp;$B18,彙整表!$L$2:$L$79,0),0),"")</f>
        <v/>
      </c>
      <c r="K18" s="1" t="str">
        <f ca="1">IFERROR(OFFSET(彙整表!K$1,MATCH($A18&amp;$B18,彙整表!$L$2:$L$79,0),0),"")</f>
        <v/>
      </c>
    </row>
    <row r="19" spans="1:11" x14ac:dyDescent="0.2">
      <c r="A19" s="3" t="s">
        <v>266</v>
      </c>
      <c r="B19" s="3">
        <v>5</v>
      </c>
      <c r="C19" s="1" t="str">
        <f ca="1">IFERROR(OFFSET(彙整表!C$1,MATCH($A19&amp;$B19,彙整表!$L$2:$L$79,0),0),"")</f>
        <v/>
      </c>
      <c r="D19" s="1" t="str">
        <f ca="1">IFERROR(OFFSET(彙整表!D$1,MATCH($A19&amp;$B19,彙整表!$L$2:$L$79,0),0),"")</f>
        <v/>
      </c>
      <c r="E19" s="1" t="str">
        <f ca="1">IFERROR(OFFSET(彙整表!E$1,MATCH($A19&amp;$B19,彙整表!$L$2:$L$79,0),0),"")</f>
        <v/>
      </c>
      <c r="F19" s="1" t="str">
        <f ca="1">IFERROR(OFFSET(彙整表!F$1,MATCH($A19&amp;$B19,彙整表!$L$2:$L$79,0),0),"")</f>
        <v/>
      </c>
      <c r="G19" s="1" t="str">
        <f ca="1">IFERROR(OFFSET(彙整表!G$1,MATCH($A19&amp;$B19,彙整表!$L$2:$L$79,0),0),"")</f>
        <v/>
      </c>
      <c r="H19" s="1" t="str">
        <f ca="1">IFERROR(OFFSET(彙整表!H$1,MATCH($A19&amp;$B19,彙整表!$L$2:$L$79,0),0),"")</f>
        <v/>
      </c>
      <c r="I19" s="1" t="str">
        <f ca="1">IFERROR(OFFSET(彙整表!I$1,MATCH($A19&amp;$B19,彙整表!$L$2:$L$79,0),0),"")</f>
        <v/>
      </c>
      <c r="J19" s="1" t="str">
        <f ca="1">IFERROR(OFFSET(彙整表!J$1,MATCH($A19&amp;$B19,彙整表!$L$2:$L$79,0),0),"")</f>
        <v/>
      </c>
      <c r="K19" s="1" t="str">
        <f ca="1">IFERROR(OFFSET(彙整表!K$1,MATCH($A19&amp;$B19,彙整表!$L$2:$L$79,0),0),"")</f>
        <v/>
      </c>
    </row>
    <row r="20" spans="1:11" x14ac:dyDescent="0.2">
      <c r="A20" s="3" t="s">
        <v>266</v>
      </c>
      <c r="B20" s="3">
        <v>6</v>
      </c>
      <c r="C20" s="1" t="str">
        <f ca="1">IFERROR(OFFSET(彙整表!C$1,MATCH($A20&amp;$B20,彙整表!$L$2:$L$79,0),0),"")</f>
        <v/>
      </c>
      <c r="D20" s="1" t="str">
        <f ca="1">IFERROR(OFFSET(彙整表!D$1,MATCH($A20&amp;$B20,彙整表!$L$2:$L$79,0),0),"")</f>
        <v/>
      </c>
      <c r="E20" s="1" t="str">
        <f ca="1">IFERROR(OFFSET(彙整表!E$1,MATCH($A20&amp;$B20,彙整表!$L$2:$L$79,0),0),"")</f>
        <v/>
      </c>
      <c r="F20" s="1" t="str">
        <f ca="1">IFERROR(OFFSET(彙整表!F$1,MATCH($A20&amp;$B20,彙整表!$L$2:$L$79,0),0),"")</f>
        <v/>
      </c>
      <c r="G20" s="1" t="str">
        <f ca="1">IFERROR(OFFSET(彙整表!G$1,MATCH($A20&amp;$B20,彙整表!$L$2:$L$79,0),0),"")</f>
        <v/>
      </c>
      <c r="H20" s="1" t="str">
        <f ca="1">IFERROR(OFFSET(彙整表!H$1,MATCH($A20&amp;$B20,彙整表!$L$2:$L$79,0),0),"")</f>
        <v/>
      </c>
      <c r="I20" s="1" t="str">
        <f ca="1">IFERROR(OFFSET(彙整表!I$1,MATCH($A20&amp;$B20,彙整表!$L$2:$L$79,0),0),"")</f>
        <v/>
      </c>
      <c r="J20" s="1" t="str">
        <f ca="1">IFERROR(OFFSET(彙整表!J$1,MATCH($A20&amp;$B20,彙整表!$L$2:$L$79,0),0),"")</f>
        <v/>
      </c>
      <c r="K20" s="1" t="str">
        <f ca="1">IFERROR(OFFSET(彙整表!K$1,MATCH($A20&amp;$B20,彙整表!$L$2:$L$79,0),0),"")</f>
        <v/>
      </c>
    </row>
    <row r="21" spans="1:11" x14ac:dyDescent="0.2">
      <c r="A21" s="3" t="s">
        <v>266</v>
      </c>
      <c r="B21" s="3">
        <v>7</v>
      </c>
      <c r="C21" s="1" t="str">
        <f ca="1">IFERROR(OFFSET(彙整表!C$1,MATCH($A21&amp;$B21,彙整表!$L$2:$L$79,0),0),"")</f>
        <v/>
      </c>
      <c r="D21" s="1" t="str">
        <f ca="1">IFERROR(OFFSET(彙整表!D$1,MATCH($A21&amp;$B21,彙整表!$L$2:$L$79,0),0),"")</f>
        <v/>
      </c>
      <c r="E21" s="1" t="str">
        <f ca="1">IFERROR(OFFSET(彙整表!E$1,MATCH($A21&amp;$B21,彙整表!$L$2:$L$79,0),0),"")</f>
        <v/>
      </c>
      <c r="F21" s="1" t="str">
        <f ca="1">IFERROR(OFFSET(彙整表!F$1,MATCH($A21&amp;$B21,彙整表!$L$2:$L$79,0),0),"")</f>
        <v/>
      </c>
      <c r="G21" s="1" t="str">
        <f ca="1">IFERROR(OFFSET(彙整表!G$1,MATCH($A21&amp;$B21,彙整表!$L$2:$L$79,0),0),"")</f>
        <v/>
      </c>
      <c r="H21" s="1" t="str">
        <f ca="1">IFERROR(OFFSET(彙整表!H$1,MATCH($A21&amp;$B21,彙整表!$L$2:$L$79,0),0),"")</f>
        <v/>
      </c>
      <c r="I21" s="1" t="str">
        <f ca="1">IFERROR(OFFSET(彙整表!I$1,MATCH($A21&amp;$B21,彙整表!$L$2:$L$79,0),0),"")</f>
        <v/>
      </c>
      <c r="J21" s="1" t="str">
        <f ca="1">IFERROR(OFFSET(彙整表!J$1,MATCH($A21&amp;$B21,彙整表!$L$2:$L$79,0),0),"")</f>
        <v/>
      </c>
      <c r="K21" s="1" t="str">
        <f ca="1">IFERROR(OFFSET(彙整表!K$1,MATCH($A21&amp;$B21,彙整表!$L$2:$L$79,0),0),"")</f>
        <v/>
      </c>
    </row>
    <row r="22" spans="1:11" x14ac:dyDescent="0.2">
      <c r="A22" s="3" t="s">
        <v>266</v>
      </c>
      <c r="B22" s="3">
        <v>8</v>
      </c>
      <c r="C22" s="1" t="str">
        <f ca="1">IFERROR(OFFSET(彙整表!C$1,MATCH($A22&amp;$B22,彙整表!$L$2:$L$79,0),0),"")</f>
        <v/>
      </c>
      <c r="D22" s="1" t="str">
        <f ca="1">IFERROR(OFFSET(彙整表!D$1,MATCH($A22&amp;$B22,彙整表!$L$2:$L$79,0),0),"")</f>
        <v/>
      </c>
      <c r="E22" s="1" t="str">
        <f ca="1">IFERROR(OFFSET(彙整表!E$1,MATCH($A22&amp;$B22,彙整表!$L$2:$L$79,0),0),"")</f>
        <v/>
      </c>
      <c r="F22" s="1" t="str">
        <f ca="1">IFERROR(OFFSET(彙整表!F$1,MATCH($A22&amp;$B22,彙整表!$L$2:$L$79,0),0),"")</f>
        <v/>
      </c>
      <c r="G22" s="1" t="str">
        <f ca="1">IFERROR(OFFSET(彙整表!G$1,MATCH($A22&amp;$B22,彙整表!$L$2:$L$79,0),0),"")</f>
        <v/>
      </c>
      <c r="H22" s="1" t="str">
        <f ca="1">IFERROR(OFFSET(彙整表!H$1,MATCH($A22&amp;$B22,彙整表!$L$2:$L$79,0),0),"")</f>
        <v/>
      </c>
      <c r="I22" s="1" t="str">
        <f ca="1">IFERROR(OFFSET(彙整表!I$1,MATCH($A22&amp;$B22,彙整表!$L$2:$L$79,0),0),"")</f>
        <v/>
      </c>
      <c r="J22" s="1" t="str">
        <f ca="1">IFERROR(OFFSET(彙整表!J$1,MATCH($A22&amp;$B22,彙整表!$L$2:$L$79,0),0),"")</f>
        <v/>
      </c>
      <c r="K22" s="1" t="str">
        <f ca="1">IFERROR(OFFSET(彙整表!K$1,MATCH($A22&amp;$B22,彙整表!$L$2:$L$79,0),0),"")</f>
        <v/>
      </c>
    </row>
    <row r="23" spans="1:11" x14ac:dyDescent="0.2">
      <c r="A23" s="3" t="s">
        <v>266</v>
      </c>
      <c r="B23" s="3">
        <v>9</v>
      </c>
      <c r="C23" s="1" t="str">
        <f ca="1">IFERROR(OFFSET(彙整表!C$1,MATCH($A23&amp;$B23,彙整表!$L$2:$L$79,0),0),"")</f>
        <v/>
      </c>
      <c r="D23" s="1" t="str">
        <f ca="1">IFERROR(OFFSET(彙整表!D$1,MATCH($A23&amp;$B23,彙整表!$L$2:$L$79,0),0),"")</f>
        <v/>
      </c>
      <c r="E23" s="1" t="str">
        <f ca="1">IFERROR(OFFSET(彙整表!E$1,MATCH($A23&amp;$B23,彙整表!$L$2:$L$79,0),0),"")</f>
        <v/>
      </c>
      <c r="F23" s="1" t="str">
        <f ca="1">IFERROR(OFFSET(彙整表!F$1,MATCH($A23&amp;$B23,彙整表!$L$2:$L$79,0),0),"")</f>
        <v/>
      </c>
      <c r="G23" s="1" t="str">
        <f ca="1">IFERROR(OFFSET(彙整表!G$1,MATCH($A23&amp;$B23,彙整表!$L$2:$L$79,0),0),"")</f>
        <v/>
      </c>
      <c r="H23" s="1" t="str">
        <f ca="1">IFERROR(OFFSET(彙整表!H$1,MATCH($A23&amp;$B23,彙整表!$L$2:$L$79,0),0),"")</f>
        <v/>
      </c>
      <c r="I23" s="1" t="str">
        <f ca="1">IFERROR(OFFSET(彙整表!I$1,MATCH($A23&amp;$B23,彙整表!$L$2:$L$79,0),0),"")</f>
        <v/>
      </c>
      <c r="J23" s="1" t="str">
        <f ca="1">IFERROR(OFFSET(彙整表!J$1,MATCH($A23&amp;$B23,彙整表!$L$2:$L$79,0),0),"")</f>
        <v/>
      </c>
      <c r="K23" s="1" t="str">
        <f ca="1">IFERROR(OFFSET(彙整表!K$1,MATCH($A23&amp;$B23,彙整表!$L$2:$L$79,0),0),"")</f>
        <v/>
      </c>
    </row>
    <row r="24" spans="1:11" x14ac:dyDescent="0.2">
      <c r="A24" s="3" t="s">
        <v>266</v>
      </c>
      <c r="B24" s="3">
        <v>10</v>
      </c>
      <c r="C24" s="1" t="str">
        <f ca="1">IFERROR(OFFSET(彙整表!C$1,MATCH($A24&amp;$B24,彙整表!$L$2:$L$79,0),0),"")</f>
        <v/>
      </c>
      <c r="D24" s="1" t="str">
        <f ca="1">IFERROR(OFFSET(彙整表!D$1,MATCH($A24&amp;$B24,彙整表!$L$2:$L$79,0),0),"")</f>
        <v/>
      </c>
      <c r="E24" s="1" t="str">
        <f ca="1">IFERROR(OFFSET(彙整表!E$1,MATCH($A24&amp;$B24,彙整表!$L$2:$L$79,0),0),"")</f>
        <v/>
      </c>
      <c r="F24" s="1" t="str">
        <f ca="1">IFERROR(OFFSET(彙整表!F$1,MATCH($A24&amp;$B24,彙整表!$L$2:$L$79,0),0),"")</f>
        <v/>
      </c>
      <c r="G24" s="1" t="str">
        <f ca="1">IFERROR(OFFSET(彙整表!G$1,MATCH($A24&amp;$B24,彙整表!$L$2:$L$79,0),0),"")</f>
        <v/>
      </c>
      <c r="H24" s="1" t="str">
        <f ca="1">IFERROR(OFFSET(彙整表!H$1,MATCH($A24&amp;$B24,彙整表!$L$2:$L$79,0),0),"")</f>
        <v/>
      </c>
      <c r="I24" s="1" t="str">
        <f ca="1">IFERROR(OFFSET(彙整表!I$1,MATCH($A24&amp;$B24,彙整表!$L$2:$L$79,0),0),"")</f>
        <v/>
      </c>
      <c r="J24" s="1" t="str">
        <f ca="1">IFERROR(OFFSET(彙整表!J$1,MATCH($A24&amp;$B24,彙整表!$L$2:$L$79,0),0),"")</f>
        <v/>
      </c>
      <c r="K24" s="1" t="str">
        <f ca="1">IFERROR(OFFSET(彙整表!K$1,MATCH($A24&amp;$B24,彙整表!$L$2:$L$79,0),0),"")</f>
        <v/>
      </c>
    </row>
    <row r="25" spans="1:11" x14ac:dyDescent="0.2">
      <c r="A25" s="3" t="s">
        <v>266</v>
      </c>
      <c r="B25" s="3">
        <v>11</v>
      </c>
      <c r="C25" s="1" t="str">
        <f ca="1">IFERROR(OFFSET(彙整表!C$1,MATCH($A25&amp;$B25,彙整表!$L$2:$L$79,0),0),"")</f>
        <v/>
      </c>
      <c r="D25" s="1" t="str">
        <f ca="1">IFERROR(OFFSET(彙整表!D$1,MATCH($A25&amp;$B25,彙整表!$L$2:$L$79,0),0),"")</f>
        <v/>
      </c>
      <c r="E25" s="1" t="str">
        <f ca="1">IFERROR(OFFSET(彙整表!E$1,MATCH($A25&amp;$B25,彙整表!$L$2:$L$79,0),0),"")</f>
        <v/>
      </c>
      <c r="F25" s="1" t="str">
        <f ca="1">IFERROR(OFFSET(彙整表!F$1,MATCH($A25&amp;$B25,彙整表!$L$2:$L$79,0),0),"")</f>
        <v/>
      </c>
      <c r="G25" s="1" t="str">
        <f ca="1">IFERROR(OFFSET(彙整表!G$1,MATCH($A25&amp;$B25,彙整表!$L$2:$L$79,0),0),"")</f>
        <v/>
      </c>
      <c r="H25" s="1" t="str">
        <f ca="1">IFERROR(OFFSET(彙整表!H$1,MATCH($A25&amp;$B25,彙整表!$L$2:$L$79,0),0),"")</f>
        <v/>
      </c>
      <c r="I25" s="1" t="str">
        <f ca="1">IFERROR(OFFSET(彙整表!I$1,MATCH($A25&amp;$B25,彙整表!$L$2:$L$79,0),0),"")</f>
        <v/>
      </c>
      <c r="J25" s="1" t="str">
        <f ca="1">IFERROR(OFFSET(彙整表!J$1,MATCH($A25&amp;$B25,彙整表!$L$2:$L$79,0),0),"")</f>
        <v/>
      </c>
      <c r="K25" s="1" t="str">
        <f ca="1">IFERROR(OFFSET(彙整表!K$1,MATCH($A25&amp;$B25,彙整表!$L$2:$L$79,0),0),"")</f>
        <v/>
      </c>
    </row>
    <row r="26" spans="1:11" x14ac:dyDescent="0.2">
      <c r="A26" s="3" t="s">
        <v>266</v>
      </c>
      <c r="B26" s="3">
        <v>12</v>
      </c>
      <c r="C26" s="1" t="str">
        <f ca="1">IFERROR(OFFSET(彙整表!C$1,MATCH($A26&amp;$B26,彙整表!$L$2:$L$79,0),0),"")</f>
        <v/>
      </c>
      <c r="D26" s="1" t="str">
        <f ca="1">IFERROR(OFFSET(彙整表!D$1,MATCH($A26&amp;$B26,彙整表!$L$2:$L$79,0),0),"")</f>
        <v/>
      </c>
      <c r="E26" s="1" t="str">
        <f ca="1">IFERROR(OFFSET(彙整表!E$1,MATCH($A26&amp;$B26,彙整表!$L$2:$L$79,0),0),"")</f>
        <v/>
      </c>
      <c r="F26" s="1" t="str">
        <f ca="1">IFERROR(OFFSET(彙整表!F$1,MATCH($A26&amp;$B26,彙整表!$L$2:$L$79,0),0),"")</f>
        <v/>
      </c>
      <c r="G26" s="1" t="str">
        <f ca="1">IFERROR(OFFSET(彙整表!G$1,MATCH($A26&amp;$B26,彙整表!$L$2:$L$79,0),0),"")</f>
        <v/>
      </c>
      <c r="H26" s="1" t="str">
        <f ca="1">IFERROR(OFFSET(彙整表!H$1,MATCH($A26&amp;$B26,彙整表!$L$2:$L$79,0),0),"")</f>
        <v/>
      </c>
      <c r="I26" s="1" t="str">
        <f ca="1">IFERROR(OFFSET(彙整表!I$1,MATCH($A26&amp;$B26,彙整表!$L$2:$L$79,0),0),"")</f>
        <v/>
      </c>
      <c r="J26" s="1" t="str">
        <f ca="1">IFERROR(OFFSET(彙整表!J$1,MATCH($A26&amp;$B26,彙整表!$L$2:$L$79,0),0),"")</f>
        <v/>
      </c>
      <c r="K26" s="1" t="str">
        <f ca="1">IFERROR(OFFSET(彙整表!K$1,MATCH($A26&amp;$B26,彙整表!$L$2:$L$79,0),0),"")</f>
        <v/>
      </c>
    </row>
    <row r="27" spans="1:11" x14ac:dyDescent="0.2">
      <c r="A27" s="3" t="s">
        <v>266</v>
      </c>
      <c r="B27" s="3">
        <v>13</v>
      </c>
      <c r="C27" s="1" t="str">
        <f ca="1">IFERROR(OFFSET(彙整表!C$1,MATCH($A27&amp;$B27,彙整表!$L$2:$L$79,0),0),"")</f>
        <v/>
      </c>
      <c r="D27" s="1" t="str">
        <f ca="1">IFERROR(OFFSET(彙整表!D$1,MATCH($A27&amp;$B27,彙整表!$L$2:$L$79,0),0),"")</f>
        <v/>
      </c>
      <c r="E27" s="1" t="str">
        <f ca="1">IFERROR(OFFSET(彙整表!E$1,MATCH($A27&amp;$B27,彙整表!$L$2:$L$79,0),0),"")</f>
        <v/>
      </c>
      <c r="F27" s="1" t="str">
        <f ca="1">IFERROR(OFFSET(彙整表!F$1,MATCH($A27&amp;$B27,彙整表!$L$2:$L$79,0),0),"")</f>
        <v/>
      </c>
      <c r="G27" s="1" t="str">
        <f ca="1">IFERROR(OFFSET(彙整表!G$1,MATCH($A27&amp;$B27,彙整表!$L$2:$L$79,0),0),"")</f>
        <v/>
      </c>
      <c r="H27" s="1" t="str">
        <f ca="1">IFERROR(OFFSET(彙整表!H$1,MATCH($A27&amp;$B27,彙整表!$L$2:$L$79,0),0),"")</f>
        <v/>
      </c>
      <c r="I27" s="1" t="str">
        <f ca="1">IFERROR(OFFSET(彙整表!I$1,MATCH($A27&amp;$B27,彙整表!$L$2:$L$79,0),0),"")</f>
        <v/>
      </c>
      <c r="J27" s="1" t="str">
        <f ca="1">IFERROR(OFFSET(彙整表!J$1,MATCH($A27&amp;$B27,彙整表!$L$2:$L$79,0),0),"")</f>
        <v/>
      </c>
      <c r="K27" s="1" t="str">
        <f ca="1">IFERROR(OFFSET(彙整表!K$1,MATCH($A27&amp;$B27,彙整表!$L$2:$L$79,0),0),"")</f>
        <v/>
      </c>
    </row>
    <row r="28" spans="1:11" x14ac:dyDescent="0.2">
      <c r="A28" s="3" t="s">
        <v>19</v>
      </c>
      <c r="B28" s="3">
        <v>1</v>
      </c>
      <c r="C28" s="1" t="str">
        <f ca="1">IFERROR(OFFSET(彙整表!C$1,MATCH($A28&amp;$B28,彙整表!$L$2:$L$79,0),0),"")</f>
        <v>李玥樂</v>
      </c>
      <c r="D28" s="1" t="str">
        <f ca="1">IFERROR(OFFSET(彙整表!D$1,MATCH($A28&amp;$B28,彙整表!$L$2:$L$79,0),0),"")</f>
        <v>陳品妘</v>
      </c>
      <c r="E28" s="1" t="str">
        <f ca="1">IFERROR(OFFSET(彙整表!E$1,MATCH($A28&amp;$B28,彙整表!$L$2:$L$79,0),0),"")</f>
        <v>簡郁蓁</v>
      </c>
      <c r="F28" s="1" t="str">
        <f ca="1">IFERROR(OFFSET(彙整表!F$1,MATCH($A28&amp;$B28,彙整表!$L$2:$L$79,0),0),"")</f>
        <v>黃允柔</v>
      </c>
      <c r="G28" s="1" t="str">
        <f ca="1">IFERROR(OFFSET(彙整表!G$1,MATCH($A28&amp;$B28,彙整表!$L$2:$L$79,0),0),"")</f>
        <v>鍾奇家</v>
      </c>
      <c r="H28" s="1">
        <f ca="1">IFERROR(OFFSET(彙整表!H$1,MATCH($A28&amp;$B28,彙整表!$L$2:$L$79,0),0),"")</f>
        <v>0</v>
      </c>
      <c r="I28" s="1">
        <f ca="1">IFERROR(OFFSET(彙整表!I$1,MATCH($A28&amp;$B28,彙整表!$L$2:$L$79,0),0),"")</f>
        <v>0</v>
      </c>
      <c r="J28" s="1">
        <f ca="1">IFERROR(OFFSET(彙整表!J$1,MATCH($A28&amp;$B28,彙整表!$L$2:$L$79,0),0),"")</f>
        <v>0</v>
      </c>
      <c r="K28" s="1">
        <f ca="1">IFERROR(OFFSET(彙整表!K$1,MATCH($A28&amp;$B28,彙整表!$L$2:$L$79,0),0),"")</f>
        <v>0</v>
      </c>
    </row>
    <row r="29" spans="1:11" x14ac:dyDescent="0.2">
      <c r="A29" s="3" t="s">
        <v>19</v>
      </c>
      <c r="B29" s="3">
        <v>2</v>
      </c>
      <c r="C29" s="1" t="str">
        <f ca="1">IFERROR(OFFSET(彙整表!C$1,MATCH($A29&amp;$B29,彙整表!$L$2:$L$79,0),0),"")</f>
        <v>徐芷妍</v>
      </c>
      <c r="D29" s="1" t="str">
        <f ca="1">IFERROR(OFFSET(彙整表!D$1,MATCH($A29&amp;$B29,彙整表!$L$2:$L$79,0),0),"")</f>
        <v>游品嫣</v>
      </c>
      <c r="E29" s="1" t="str">
        <f ca="1">IFERROR(OFFSET(彙整表!E$1,MATCH($A29&amp;$B29,彙整表!$L$2:$L$79,0),0),"")</f>
        <v>李昱瑩</v>
      </c>
      <c r="F29" s="1" t="str">
        <f ca="1">IFERROR(OFFSET(彙整表!F$1,MATCH($A29&amp;$B29,彙整表!$L$2:$L$79,0),0),"")</f>
        <v>林辰曄</v>
      </c>
      <c r="G29" s="1" t="str">
        <f ca="1">IFERROR(OFFSET(彙整表!G$1,MATCH($A29&amp;$B29,彙整表!$L$2:$L$79,0),0),"")</f>
        <v>賴宬彧</v>
      </c>
      <c r="H29" s="1">
        <f ca="1">IFERROR(OFFSET(彙整表!H$1,MATCH($A29&amp;$B29,彙整表!$L$2:$L$79,0),0),"")</f>
        <v>0</v>
      </c>
      <c r="I29" s="1">
        <f ca="1">IFERROR(OFFSET(彙整表!I$1,MATCH($A29&amp;$B29,彙整表!$L$2:$L$79,0),0),"")</f>
        <v>0</v>
      </c>
      <c r="J29" s="1">
        <f ca="1">IFERROR(OFFSET(彙整表!J$1,MATCH($A29&amp;$B29,彙整表!$L$2:$L$79,0),0),"")</f>
        <v>0</v>
      </c>
      <c r="K29" s="1">
        <f ca="1">IFERROR(OFFSET(彙整表!K$1,MATCH($A29&amp;$B29,彙整表!$L$2:$L$79,0),0),"")</f>
        <v>0</v>
      </c>
    </row>
    <row r="30" spans="1:11" x14ac:dyDescent="0.2">
      <c r="A30" s="3" t="s">
        <v>19</v>
      </c>
      <c r="B30" s="3">
        <v>3</v>
      </c>
      <c r="C30" s="1" t="str">
        <f ca="1">IFERROR(OFFSET(彙整表!C$1,MATCH($A30&amp;$B30,彙整表!$L$2:$L$79,0),0),"")</f>
        <v>楊俊倫</v>
      </c>
      <c r="D30" s="1" t="str">
        <f ca="1">IFERROR(OFFSET(彙整表!D$1,MATCH($A30&amp;$B30,彙整表!$L$2:$L$79,0),0),"")</f>
        <v>林品曦</v>
      </c>
      <c r="E30" s="1" t="str">
        <f ca="1">IFERROR(OFFSET(彙整表!E$1,MATCH($A30&amp;$B30,彙整表!$L$2:$L$79,0),0),"")</f>
        <v>鄭亦紘</v>
      </c>
      <c r="F30" s="1" t="str">
        <f ca="1">IFERROR(OFFSET(彙整表!F$1,MATCH($A30&amp;$B30,彙整表!$L$2:$L$79,0),0),"")</f>
        <v>吳雨蓉</v>
      </c>
      <c r="G30" s="1" t="str">
        <f ca="1">IFERROR(OFFSET(彙整表!G$1,MATCH($A30&amp;$B30,彙整表!$L$2:$L$79,0),0),"")</f>
        <v>李若涵</v>
      </c>
      <c r="H30" s="1">
        <f ca="1">IFERROR(OFFSET(彙整表!H$1,MATCH($A30&amp;$B30,彙整表!$L$2:$L$79,0),0),"")</f>
        <v>0</v>
      </c>
      <c r="I30" s="1">
        <f ca="1">IFERROR(OFFSET(彙整表!I$1,MATCH($A30&amp;$B30,彙整表!$L$2:$L$79,0),0),"")</f>
        <v>0</v>
      </c>
      <c r="J30" s="1">
        <f ca="1">IFERROR(OFFSET(彙整表!J$1,MATCH($A30&amp;$B30,彙整表!$L$2:$L$79,0),0),"")</f>
        <v>0</v>
      </c>
      <c r="K30" s="1">
        <f ca="1">IFERROR(OFFSET(彙整表!K$1,MATCH($A30&amp;$B30,彙整表!$L$2:$L$79,0),0),"")</f>
        <v>0</v>
      </c>
    </row>
    <row r="31" spans="1:11" x14ac:dyDescent="0.2">
      <c r="A31" s="3" t="s">
        <v>19</v>
      </c>
      <c r="B31" s="3">
        <v>4</v>
      </c>
      <c r="C31" s="1" t="str">
        <f ca="1">IFERROR(OFFSET(彙整表!C$1,MATCH($A31&amp;$B31,彙整表!$L$2:$L$79,0),0),"")</f>
        <v>佟安晴</v>
      </c>
      <c r="D31" s="1" t="str">
        <f ca="1">IFERROR(OFFSET(彙整表!D$1,MATCH($A31&amp;$B31,彙整表!$L$2:$L$79,0),0),"")</f>
        <v>江綺恩</v>
      </c>
      <c r="E31" s="1" t="str">
        <f ca="1">IFERROR(OFFSET(彙整表!E$1,MATCH($A31&amp;$B31,彙整表!$L$2:$L$79,0),0),"")</f>
        <v>吳姵澄</v>
      </c>
      <c r="F31" s="1" t="str">
        <f ca="1">IFERROR(OFFSET(彙整表!F$1,MATCH($A31&amp;$B31,彙整表!$L$2:$L$79,0),0),"")</f>
        <v>謝雨恬</v>
      </c>
      <c r="G31" s="1" t="str">
        <f ca="1">IFERROR(OFFSET(彙整表!G$1,MATCH($A31&amp;$B31,彙整表!$L$2:$L$79,0),0),"")</f>
        <v>陳炘妤</v>
      </c>
      <c r="H31" s="1">
        <f ca="1">IFERROR(OFFSET(彙整表!H$1,MATCH($A31&amp;$B31,彙整表!$L$2:$L$79,0),0),"")</f>
        <v>0</v>
      </c>
      <c r="I31" s="1">
        <f ca="1">IFERROR(OFFSET(彙整表!I$1,MATCH($A31&amp;$B31,彙整表!$L$2:$L$79,0),0),"")</f>
        <v>0</v>
      </c>
      <c r="J31" s="1">
        <f ca="1">IFERROR(OFFSET(彙整表!J$1,MATCH($A31&amp;$B31,彙整表!$L$2:$L$79,0),0),"")</f>
        <v>0</v>
      </c>
      <c r="K31" s="1">
        <f ca="1">IFERROR(OFFSET(彙整表!K$1,MATCH($A31&amp;$B31,彙整表!$L$2:$L$79,0),0),"")</f>
        <v>0</v>
      </c>
    </row>
    <row r="32" spans="1:11" x14ac:dyDescent="0.2">
      <c r="A32" s="3" t="s">
        <v>19</v>
      </c>
      <c r="B32" s="3">
        <v>5</v>
      </c>
      <c r="C32" s="1" t="str">
        <f ca="1">IFERROR(OFFSET(彙整表!C$1,MATCH($A32&amp;$B32,彙整表!$L$2:$L$79,0),0),"")</f>
        <v>黃子維</v>
      </c>
      <c r="D32" s="1" t="str">
        <f ca="1">IFERROR(OFFSET(彙整表!D$1,MATCH($A32&amp;$B32,彙整表!$L$2:$L$79,0),0),"")</f>
        <v>王品晴</v>
      </c>
      <c r="E32" s="1" t="str">
        <f ca="1">IFERROR(OFFSET(彙整表!E$1,MATCH($A32&amp;$B32,彙整表!$L$2:$L$79,0),0),"")</f>
        <v>簡孜安</v>
      </c>
      <c r="F32" s="1" t="str">
        <f ca="1">IFERROR(OFFSET(彙整表!F$1,MATCH($A32&amp;$B32,彙整表!$L$2:$L$79,0),0),"")</f>
        <v>許晏翎</v>
      </c>
      <c r="G32" s="1" t="str">
        <f ca="1">IFERROR(OFFSET(彙整表!G$1,MATCH($A32&amp;$B32,彙整表!$L$2:$L$79,0),0),"")</f>
        <v>洪馨妍</v>
      </c>
      <c r="H32" s="1">
        <f ca="1">IFERROR(OFFSET(彙整表!H$1,MATCH($A32&amp;$B32,彙整表!$L$2:$L$79,0),0),"")</f>
        <v>0</v>
      </c>
      <c r="I32" s="1">
        <f ca="1">IFERROR(OFFSET(彙整表!I$1,MATCH($A32&amp;$B32,彙整表!$L$2:$L$79,0),0),"")</f>
        <v>0</v>
      </c>
      <c r="J32" s="1">
        <f ca="1">IFERROR(OFFSET(彙整表!J$1,MATCH($A32&amp;$B32,彙整表!$L$2:$L$79,0),0),"")</f>
        <v>0</v>
      </c>
      <c r="K32" s="1">
        <f ca="1">IFERROR(OFFSET(彙整表!K$1,MATCH($A32&amp;$B32,彙整表!$L$2:$L$79,0),0),"")</f>
        <v>0</v>
      </c>
    </row>
    <row r="33" spans="1:11" x14ac:dyDescent="0.2">
      <c r="A33" s="3" t="s">
        <v>19</v>
      </c>
      <c r="B33" s="3">
        <v>6</v>
      </c>
      <c r="C33" s="1" t="str">
        <f ca="1">IFERROR(OFFSET(彙整表!C$1,MATCH($A33&amp;$B33,彙整表!$L$2:$L$79,0),0),"")</f>
        <v>鄧祺勳</v>
      </c>
      <c r="D33" s="1" t="str">
        <f ca="1">IFERROR(OFFSET(彙整表!D$1,MATCH($A33&amp;$B33,彙整表!$L$2:$L$79,0),0),"")</f>
        <v>林子晴</v>
      </c>
      <c r="E33" s="1" t="str">
        <f ca="1">IFERROR(OFFSET(彙整表!E$1,MATCH($A33&amp;$B33,彙整表!$L$2:$L$79,0),0),"")</f>
        <v>詹儷鳳</v>
      </c>
      <c r="F33" s="1" t="str">
        <f ca="1">IFERROR(OFFSET(彙整表!F$1,MATCH($A33&amp;$B33,彙整表!$L$2:$L$79,0),0),"")</f>
        <v>詹鎧緁</v>
      </c>
      <c r="G33" s="1" t="str">
        <f ca="1">IFERROR(OFFSET(彙整表!G$1,MATCH($A33&amp;$B33,彙整表!$L$2:$L$79,0),0),"")</f>
        <v>吳承軒</v>
      </c>
      <c r="H33" s="1">
        <f ca="1">IFERROR(OFFSET(彙整表!H$1,MATCH($A33&amp;$B33,彙整表!$L$2:$L$79,0),0),"")</f>
        <v>0</v>
      </c>
      <c r="I33" s="1">
        <f ca="1">IFERROR(OFFSET(彙整表!I$1,MATCH($A33&amp;$B33,彙整表!$L$2:$L$79,0),0),"")</f>
        <v>0</v>
      </c>
      <c r="J33" s="1">
        <f ca="1">IFERROR(OFFSET(彙整表!J$1,MATCH($A33&amp;$B33,彙整表!$L$2:$L$79,0),0),"")</f>
        <v>0</v>
      </c>
      <c r="K33" s="1">
        <f ca="1">IFERROR(OFFSET(彙整表!K$1,MATCH($A33&amp;$B33,彙整表!$L$2:$L$79,0),0),"")</f>
        <v>0</v>
      </c>
    </row>
    <row r="34" spans="1:11" x14ac:dyDescent="0.2">
      <c r="A34" s="3" t="s">
        <v>19</v>
      </c>
      <c r="B34" s="3">
        <v>7</v>
      </c>
      <c r="C34" s="1" t="str">
        <f ca="1">IFERROR(OFFSET(彙整表!C$1,MATCH($A34&amp;$B34,彙整表!$L$2:$L$79,0),0),"")</f>
        <v>吳昀霏</v>
      </c>
      <c r="D34" s="1" t="str">
        <f ca="1">IFERROR(OFFSET(彙整表!D$1,MATCH($A34&amp;$B34,彙整表!$L$2:$L$79,0),0),"")</f>
        <v>張芯瑜</v>
      </c>
      <c r="E34" s="1" t="str">
        <f ca="1">IFERROR(OFFSET(彙整表!E$1,MATCH($A34&amp;$B34,彙整表!$L$2:$L$79,0),0),"")</f>
        <v>陳妘溱</v>
      </c>
      <c r="F34" s="1" t="str">
        <f ca="1">IFERROR(OFFSET(彙整表!F$1,MATCH($A34&amp;$B34,彙整表!$L$2:$L$79,0),0),"")</f>
        <v>林琮祐</v>
      </c>
      <c r="G34" s="1" t="str">
        <f ca="1">IFERROR(OFFSET(彙整表!G$1,MATCH($A34&amp;$B34,彙整表!$L$2:$L$79,0),0),"")</f>
        <v>李家楷</v>
      </c>
      <c r="H34" s="1">
        <f ca="1">IFERROR(OFFSET(彙整表!H$1,MATCH($A34&amp;$B34,彙整表!$L$2:$L$79,0),0),"")</f>
        <v>0</v>
      </c>
      <c r="I34" s="1">
        <f ca="1">IFERROR(OFFSET(彙整表!I$1,MATCH($A34&amp;$B34,彙整表!$L$2:$L$79,0),0),"")</f>
        <v>0</v>
      </c>
      <c r="J34" s="1">
        <f ca="1">IFERROR(OFFSET(彙整表!J$1,MATCH($A34&amp;$B34,彙整表!$L$2:$L$79,0),0),"")</f>
        <v>0</v>
      </c>
      <c r="K34" s="1">
        <f ca="1">IFERROR(OFFSET(彙整表!K$1,MATCH($A34&amp;$B34,彙整表!$L$2:$L$79,0),0),"")</f>
        <v>0</v>
      </c>
    </row>
    <row r="35" spans="1:11" x14ac:dyDescent="0.2">
      <c r="A35" s="3" t="s">
        <v>19</v>
      </c>
      <c r="B35" s="3">
        <v>8</v>
      </c>
      <c r="C35" s="1" t="str">
        <f ca="1">IFERROR(OFFSET(彙整表!C$1,MATCH($A35&amp;$B35,彙整表!$L$2:$L$79,0),0),"")</f>
        <v>林晏佑</v>
      </c>
      <c r="D35" s="1" t="str">
        <f ca="1">IFERROR(OFFSET(彙整表!D$1,MATCH($A35&amp;$B35,彙整表!$L$2:$L$79,0),0),"")</f>
        <v>盧珊瑩</v>
      </c>
      <c r="E35" s="1" t="str">
        <f ca="1">IFERROR(OFFSET(彙整表!E$1,MATCH($A35&amp;$B35,彙整表!$L$2:$L$79,0),0),"")</f>
        <v>康亦青</v>
      </c>
      <c r="F35" s="1" t="str">
        <f ca="1">IFERROR(OFFSET(彙整表!F$1,MATCH($A35&amp;$B35,彙整表!$L$2:$L$79,0),0),"")</f>
        <v>黃奕晴</v>
      </c>
      <c r="G35" s="1" t="str">
        <f ca="1">IFERROR(OFFSET(彙整表!G$1,MATCH($A35&amp;$B35,彙整表!$L$2:$L$79,0),0),"")</f>
        <v>吳詠晴</v>
      </c>
      <c r="H35" s="1">
        <f ca="1">IFERROR(OFFSET(彙整表!H$1,MATCH($A35&amp;$B35,彙整表!$L$2:$L$79,0),0),"")</f>
        <v>0</v>
      </c>
      <c r="I35" s="1">
        <f ca="1">IFERROR(OFFSET(彙整表!I$1,MATCH($A35&amp;$B35,彙整表!$L$2:$L$79,0),0),"")</f>
        <v>0</v>
      </c>
      <c r="J35" s="1">
        <f ca="1">IFERROR(OFFSET(彙整表!J$1,MATCH($A35&amp;$B35,彙整表!$L$2:$L$79,0),0),"")</f>
        <v>0</v>
      </c>
      <c r="K35" s="1">
        <f ca="1">IFERROR(OFFSET(彙整表!K$1,MATCH($A35&amp;$B35,彙整表!$L$2:$L$79,0),0),"")</f>
        <v>0</v>
      </c>
    </row>
    <row r="36" spans="1:11" x14ac:dyDescent="0.2">
      <c r="A36" s="3" t="s">
        <v>19</v>
      </c>
      <c r="B36" s="3">
        <v>9</v>
      </c>
      <c r="C36" s="1" t="str">
        <f ca="1">IFERROR(OFFSET(彙整表!C$1,MATCH($A36&amp;$B36,彙整表!$L$2:$L$79,0),0),"")</f>
        <v>吳秉叡</v>
      </c>
      <c r="D36" s="1" t="str">
        <f ca="1">IFERROR(OFFSET(彙整表!D$1,MATCH($A36&amp;$B36,彙整表!$L$2:$L$79,0),0),"")</f>
        <v>邱奕學</v>
      </c>
      <c r="E36" s="1" t="str">
        <f ca="1">IFERROR(OFFSET(彙整表!E$1,MATCH($A36&amp;$B36,彙整表!$L$2:$L$79,0),0),"")</f>
        <v>林書緹</v>
      </c>
      <c r="F36" s="1" t="str">
        <f ca="1">IFERROR(OFFSET(彙整表!F$1,MATCH($A36&amp;$B36,彙整表!$L$2:$L$79,0),0),"")</f>
        <v>莊心妍</v>
      </c>
      <c r="G36" s="1" t="str">
        <f ca="1">IFERROR(OFFSET(彙整表!G$1,MATCH($A36&amp;$B36,彙整表!$L$2:$L$79,0),0),"")</f>
        <v>李芮瑪</v>
      </c>
      <c r="H36" s="1">
        <f ca="1">IFERROR(OFFSET(彙整表!H$1,MATCH($A36&amp;$B36,彙整表!$L$2:$L$79,0),0),"")</f>
        <v>0</v>
      </c>
      <c r="I36" s="1">
        <f ca="1">IFERROR(OFFSET(彙整表!I$1,MATCH($A36&amp;$B36,彙整表!$L$2:$L$79,0),0),"")</f>
        <v>0</v>
      </c>
      <c r="J36" s="1">
        <f ca="1">IFERROR(OFFSET(彙整表!J$1,MATCH($A36&amp;$B36,彙整表!$L$2:$L$79,0),0),"")</f>
        <v>0</v>
      </c>
      <c r="K36" s="1">
        <f ca="1">IFERROR(OFFSET(彙整表!K$1,MATCH($A36&amp;$B36,彙整表!$L$2:$L$79,0),0),"")</f>
        <v>0</v>
      </c>
    </row>
    <row r="37" spans="1:11" x14ac:dyDescent="0.2">
      <c r="A37" s="3" t="s">
        <v>19</v>
      </c>
      <c r="B37" s="3">
        <v>10</v>
      </c>
      <c r="C37" s="1" t="str">
        <f ca="1">IFERROR(OFFSET(彙整表!C$1,MATCH($A37&amp;$B37,彙整表!$L$2:$L$79,0),0),"")</f>
        <v>陳柏嘉</v>
      </c>
      <c r="D37" s="1" t="str">
        <f ca="1">IFERROR(OFFSET(彙整表!D$1,MATCH($A37&amp;$B37,彙整表!$L$2:$L$79,0),0),"")</f>
        <v>劉易澈</v>
      </c>
      <c r="E37" s="1" t="str">
        <f ca="1">IFERROR(OFFSET(彙整表!E$1,MATCH($A37&amp;$B37,彙整表!$L$2:$L$79,0),0),"")</f>
        <v>趙詠妍</v>
      </c>
      <c r="F37" s="1" t="str">
        <f ca="1">IFERROR(OFFSET(彙整表!F$1,MATCH($A37&amp;$B37,彙整表!$L$2:$L$79,0),0),"")</f>
        <v>郭晅孜</v>
      </c>
      <c r="G37" s="1" t="str">
        <f ca="1">IFERROR(OFFSET(彙整表!G$1,MATCH($A37&amp;$B37,彙整表!$L$2:$L$79,0),0),"")</f>
        <v>張以樂</v>
      </c>
      <c r="H37" s="1">
        <f ca="1">IFERROR(OFFSET(彙整表!H$1,MATCH($A37&amp;$B37,彙整表!$L$2:$L$79,0),0),"")</f>
        <v>0</v>
      </c>
      <c r="I37" s="1">
        <f ca="1">IFERROR(OFFSET(彙整表!I$1,MATCH($A37&amp;$B37,彙整表!$L$2:$L$79,0),0),"")</f>
        <v>0</v>
      </c>
      <c r="J37" s="1">
        <f ca="1">IFERROR(OFFSET(彙整表!J$1,MATCH($A37&amp;$B37,彙整表!$L$2:$L$79,0),0),"")</f>
        <v>0</v>
      </c>
      <c r="K37" s="1">
        <f ca="1">IFERROR(OFFSET(彙整表!K$1,MATCH($A37&amp;$B37,彙整表!$L$2:$L$79,0),0),"")</f>
        <v>0</v>
      </c>
    </row>
    <row r="38" spans="1:11" x14ac:dyDescent="0.2">
      <c r="A38" s="3" t="s">
        <v>19</v>
      </c>
      <c r="B38" s="3">
        <v>11</v>
      </c>
      <c r="C38" s="1" t="str">
        <f ca="1">IFERROR(OFFSET(彙整表!C$1,MATCH($A38&amp;$B38,彙整表!$L$2:$L$79,0),0),"")</f>
        <v>許以澔</v>
      </c>
      <c r="D38" s="1" t="str">
        <f ca="1">IFERROR(OFFSET(彙整表!D$1,MATCH($A38&amp;$B38,彙整表!$L$2:$L$79,0),0),"")</f>
        <v>楊詠甯</v>
      </c>
      <c r="E38" s="1" t="str">
        <f ca="1">IFERROR(OFFSET(彙整表!E$1,MATCH($A38&amp;$B38,彙整表!$L$2:$L$79,0),0),"")</f>
        <v>孔湘寧</v>
      </c>
      <c r="F38" s="1" t="str">
        <f ca="1">IFERROR(OFFSET(彙整表!F$1,MATCH($A38&amp;$B38,彙整表!$L$2:$L$79,0),0),"")</f>
        <v>李浚瑀</v>
      </c>
      <c r="G38" s="1" t="str">
        <f ca="1">IFERROR(OFFSET(彙整表!G$1,MATCH($A38&amp;$B38,彙整表!$L$2:$L$79,0),0),"")</f>
        <v>田昱霖</v>
      </c>
      <c r="H38" s="1">
        <f ca="1">IFERROR(OFFSET(彙整表!H$1,MATCH($A38&amp;$B38,彙整表!$L$2:$L$79,0),0),"")</f>
        <v>0</v>
      </c>
      <c r="I38" s="1">
        <f ca="1">IFERROR(OFFSET(彙整表!I$1,MATCH($A38&amp;$B38,彙整表!$L$2:$L$79,0),0),"")</f>
        <v>0</v>
      </c>
      <c r="J38" s="1">
        <f ca="1">IFERROR(OFFSET(彙整表!J$1,MATCH($A38&amp;$B38,彙整表!$L$2:$L$79,0),0),"")</f>
        <v>0</v>
      </c>
      <c r="K38" s="1">
        <f ca="1">IFERROR(OFFSET(彙整表!K$1,MATCH($A38&amp;$B38,彙整表!$L$2:$L$79,0),0),"")</f>
        <v>0</v>
      </c>
    </row>
    <row r="39" spans="1:11" x14ac:dyDescent="0.2">
      <c r="A39" s="3" t="s">
        <v>19</v>
      </c>
      <c r="B39" s="3">
        <v>12</v>
      </c>
      <c r="C39" s="1" t="str">
        <f ca="1">IFERROR(OFFSET(彙整表!C$1,MATCH($A39&amp;$B39,彙整表!$L$2:$L$79,0),0),"")</f>
        <v>徐立杰</v>
      </c>
      <c r="D39" s="1" t="str">
        <f ca="1">IFERROR(OFFSET(彙整表!D$1,MATCH($A39&amp;$B39,彙整表!$L$2:$L$79,0),0),"")</f>
        <v>王梓懷</v>
      </c>
      <c r="E39" s="1" t="str">
        <f ca="1">IFERROR(OFFSET(彙整表!E$1,MATCH($A39&amp;$B39,彙整表!$L$2:$L$79,0),0),"")</f>
        <v>簡葶安</v>
      </c>
      <c r="F39" s="1" t="str">
        <f ca="1">IFERROR(OFFSET(彙整表!F$1,MATCH($A39&amp;$B39,彙整表!$L$2:$L$79,0),0),"")</f>
        <v>陳羽樂</v>
      </c>
      <c r="G39" s="1" t="str">
        <f ca="1">IFERROR(OFFSET(彙整表!G$1,MATCH($A39&amp;$B39,彙整表!$L$2:$L$79,0),0),"")</f>
        <v>葉爰圻</v>
      </c>
      <c r="H39" s="1">
        <f ca="1">IFERROR(OFFSET(彙整表!H$1,MATCH($A39&amp;$B39,彙整表!$L$2:$L$79,0),0),"")</f>
        <v>0</v>
      </c>
      <c r="I39" s="1">
        <f ca="1">IFERROR(OFFSET(彙整表!I$1,MATCH($A39&amp;$B39,彙整表!$L$2:$L$79,0),0),"")</f>
        <v>0</v>
      </c>
      <c r="J39" s="1">
        <f ca="1">IFERROR(OFFSET(彙整表!J$1,MATCH($A39&amp;$B39,彙整表!$L$2:$L$79,0),0),"")</f>
        <v>0</v>
      </c>
      <c r="K39" s="1">
        <f ca="1">IFERROR(OFFSET(彙整表!K$1,MATCH($A39&amp;$B39,彙整表!$L$2:$L$79,0),0),"")</f>
        <v>0</v>
      </c>
    </row>
    <row r="40" spans="1:11" x14ac:dyDescent="0.2">
      <c r="A40" s="3" t="s">
        <v>19</v>
      </c>
      <c r="B40" s="3">
        <v>13</v>
      </c>
      <c r="C40" s="1" t="str">
        <f ca="1">IFERROR(OFFSET(彙整表!C$1,MATCH($A40&amp;$B40,彙整表!$L$2:$L$79,0),0),"")</f>
        <v>楊智博</v>
      </c>
      <c r="D40" s="1" t="str">
        <f ca="1">IFERROR(OFFSET(彙整表!D$1,MATCH($A40&amp;$B40,彙整表!$L$2:$L$79,0),0),"")</f>
        <v>周昆諒</v>
      </c>
      <c r="E40" s="1" t="str">
        <f ca="1">IFERROR(OFFSET(彙整表!E$1,MATCH($A40&amp;$B40,彙整表!$L$2:$L$79,0),0),"")</f>
        <v>沙棠</v>
      </c>
      <c r="F40" s="1" t="str">
        <f ca="1">IFERROR(OFFSET(彙整表!F$1,MATCH($A40&amp;$B40,彙整表!$L$2:$L$79,0),0),"")</f>
        <v>顏璟安</v>
      </c>
      <c r="G40" s="1" t="str">
        <f ca="1">IFERROR(OFFSET(彙整表!G$1,MATCH($A40&amp;$B40,彙整表!$L$2:$L$79,0),0),"")</f>
        <v>孫梅恩</v>
      </c>
      <c r="H40" s="1">
        <f ca="1">IFERROR(OFFSET(彙整表!H$1,MATCH($A40&amp;$B40,彙整表!$L$2:$L$79,0),0),"")</f>
        <v>0</v>
      </c>
      <c r="I40" s="1">
        <f ca="1">IFERROR(OFFSET(彙整表!I$1,MATCH($A40&amp;$B40,彙整表!$L$2:$L$79,0),0),"")</f>
        <v>0</v>
      </c>
      <c r="J40" s="1">
        <f ca="1">IFERROR(OFFSET(彙整表!J$1,MATCH($A40&amp;$B40,彙整表!$L$2:$L$79,0),0),"")</f>
        <v>0</v>
      </c>
      <c r="K40" s="1">
        <f ca="1">IFERROR(OFFSET(彙整表!K$1,MATCH($A40&amp;$B40,彙整表!$L$2:$L$79,0),0),"")</f>
        <v>0</v>
      </c>
    </row>
    <row r="41" spans="1:11" x14ac:dyDescent="0.2">
      <c r="A41" s="3" t="s">
        <v>35</v>
      </c>
      <c r="B41" s="3">
        <v>1</v>
      </c>
      <c r="C41" s="1" t="str">
        <f ca="1">IFERROR(OFFSET(彙整表!C$1,MATCH($A41&amp;$B41,彙整表!$L$2:$L$79,0),0),"")</f>
        <v>周采葳</v>
      </c>
      <c r="D41" s="1" t="str">
        <f ca="1">IFERROR(OFFSET(彙整表!D$1,MATCH($A41&amp;$B41,彙整表!$L$2:$L$79,0),0),"")</f>
        <v>李友耘</v>
      </c>
      <c r="E41" s="1" t="str">
        <f ca="1">IFERROR(OFFSET(彙整表!E$1,MATCH($A41&amp;$B41,彙整表!$L$2:$L$79,0),0),"")</f>
        <v>賴宥羽</v>
      </c>
      <c r="F41" s="1" t="str">
        <f ca="1">IFERROR(OFFSET(彙整表!F$1,MATCH($A41&amp;$B41,彙整表!$L$2:$L$79,0),0),"")</f>
        <v>王靖婷</v>
      </c>
      <c r="G41" s="1" t="str">
        <f ca="1">IFERROR(OFFSET(彙整表!G$1,MATCH($A41&amp;$B41,彙整表!$L$2:$L$79,0),0),"")</f>
        <v>陳瑜心</v>
      </c>
      <c r="H41" s="1">
        <f ca="1">IFERROR(OFFSET(彙整表!H$1,MATCH($A41&amp;$B41,彙整表!$L$2:$L$79,0),0),"")</f>
        <v>0</v>
      </c>
      <c r="I41" s="1">
        <f ca="1">IFERROR(OFFSET(彙整表!I$1,MATCH($A41&amp;$B41,彙整表!$L$2:$L$79,0),0),"")</f>
        <v>0</v>
      </c>
      <c r="J41" s="1">
        <f ca="1">IFERROR(OFFSET(彙整表!J$1,MATCH($A41&amp;$B41,彙整表!$L$2:$L$79,0),0),"")</f>
        <v>0</v>
      </c>
      <c r="K41" s="1">
        <f ca="1">IFERROR(OFFSET(彙整表!K$1,MATCH($A41&amp;$B41,彙整表!$L$2:$L$79,0),0),"")</f>
        <v>0</v>
      </c>
    </row>
    <row r="42" spans="1:11" x14ac:dyDescent="0.2">
      <c r="A42" s="3" t="s">
        <v>35</v>
      </c>
      <c r="B42" s="3">
        <v>2</v>
      </c>
      <c r="C42" s="1" t="str">
        <f ca="1">IFERROR(OFFSET(彙整表!C$1,MATCH($A42&amp;$B42,彙整表!$L$2:$L$79,0),0),"")</f>
        <v>陳立恩</v>
      </c>
      <c r="D42" s="1" t="str">
        <f ca="1">IFERROR(OFFSET(彙整表!D$1,MATCH($A42&amp;$B42,彙整表!$L$2:$L$79,0),0),"")</f>
        <v>王禹傑</v>
      </c>
      <c r="E42" s="1" t="str">
        <f ca="1">IFERROR(OFFSET(彙整表!E$1,MATCH($A42&amp;$B42,彙整表!$L$2:$L$79,0),0),"")</f>
        <v>李翊榛</v>
      </c>
      <c r="F42" s="1" t="str">
        <f ca="1">IFERROR(OFFSET(彙整表!F$1,MATCH($A42&amp;$B42,彙整表!$L$2:$L$79,0),0),"")</f>
        <v>柳柔宇</v>
      </c>
      <c r="G42" s="1" t="str">
        <f ca="1">IFERROR(OFFSET(彙整表!G$1,MATCH($A42&amp;$B42,彙整表!$L$2:$L$79,0),0),"")</f>
        <v>吳德軒</v>
      </c>
      <c r="H42" s="1" t="str">
        <f ca="1">IFERROR(OFFSET(彙整表!H$1,MATCH($A42&amp;$B42,彙整表!$L$2:$L$79,0),0),"")</f>
        <v>許佑銘</v>
      </c>
      <c r="I42" s="1">
        <f ca="1">IFERROR(OFFSET(彙整表!I$1,MATCH($A42&amp;$B42,彙整表!$L$2:$L$79,0),0),"")</f>
        <v>0</v>
      </c>
      <c r="J42" s="1">
        <f ca="1">IFERROR(OFFSET(彙整表!J$1,MATCH($A42&amp;$B42,彙整表!$L$2:$L$79,0),0),"")</f>
        <v>0</v>
      </c>
      <c r="K42" s="1">
        <f ca="1">IFERROR(OFFSET(彙整表!K$1,MATCH($A42&amp;$B42,彙整表!$L$2:$L$79,0),0),"")</f>
        <v>0</v>
      </c>
    </row>
    <row r="43" spans="1:11" x14ac:dyDescent="0.2">
      <c r="A43" s="3" t="s">
        <v>35</v>
      </c>
      <c r="B43" s="3">
        <v>3</v>
      </c>
      <c r="C43" s="1" t="str">
        <f ca="1">IFERROR(OFFSET(彙整表!C$1,MATCH($A43&amp;$B43,彙整表!$L$2:$L$79,0),0),"")</f>
        <v>林于捷</v>
      </c>
      <c r="D43" s="1" t="str">
        <f ca="1">IFERROR(OFFSET(彙整表!D$1,MATCH($A43&amp;$B43,彙整表!$L$2:$L$79,0),0),"")</f>
        <v>洪憶忻</v>
      </c>
      <c r="E43" s="1" t="str">
        <f ca="1">IFERROR(OFFSET(彙整表!E$1,MATCH($A43&amp;$B43,彙整表!$L$2:$L$79,0),0),"")</f>
        <v>林宸昊</v>
      </c>
      <c r="F43" s="1" t="str">
        <f ca="1">IFERROR(OFFSET(彙整表!F$1,MATCH($A43&amp;$B43,彙整表!$L$2:$L$79,0),0),"")</f>
        <v>賴亭諭</v>
      </c>
      <c r="G43" s="1" t="str">
        <f ca="1">IFERROR(OFFSET(彙整表!G$1,MATCH($A43&amp;$B43,彙整表!$L$2:$L$79,0),0),"")</f>
        <v>王紫綸</v>
      </c>
      <c r="H43" s="1">
        <f ca="1">IFERROR(OFFSET(彙整表!H$1,MATCH($A43&amp;$B43,彙整表!$L$2:$L$79,0),0),"")</f>
        <v>0</v>
      </c>
      <c r="I43" s="1">
        <f ca="1">IFERROR(OFFSET(彙整表!I$1,MATCH($A43&amp;$B43,彙整表!$L$2:$L$79,0),0),"")</f>
        <v>0</v>
      </c>
      <c r="J43" s="1">
        <f ca="1">IFERROR(OFFSET(彙整表!J$1,MATCH($A43&amp;$B43,彙整表!$L$2:$L$79,0),0),"")</f>
        <v>0</v>
      </c>
      <c r="K43" s="1">
        <f ca="1">IFERROR(OFFSET(彙整表!K$1,MATCH($A43&amp;$B43,彙整表!$L$2:$L$79,0),0),"")</f>
        <v>0</v>
      </c>
    </row>
    <row r="44" spans="1:11" x14ac:dyDescent="0.2">
      <c r="A44" s="3" t="s">
        <v>35</v>
      </c>
      <c r="B44" s="3">
        <v>4</v>
      </c>
      <c r="C44" s="1" t="str">
        <f ca="1">IFERROR(OFFSET(彙整表!C$1,MATCH($A44&amp;$B44,彙整表!$L$2:$L$79,0),0),"")</f>
        <v>蔡曜陽</v>
      </c>
      <c r="D44" s="1" t="str">
        <f ca="1">IFERROR(OFFSET(彙整表!D$1,MATCH($A44&amp;$B44,彙整表!$L$2:$L$79,0),0),"")</f>
        <v>黃仁希</v>
      </c>
      <c r="E44" s="1" t="str">
        <f ca="1">IFERROR(OFFSET(彙整表!E$1,MATCH($A44&amp;$B44,彙整表!$L$2:$L$79,0),0),"")</f>
        <v>王彥棻</v>
      </c>
      <c r="F44" s="1" t="str">
        <f ca="1">IFERROR(OFFSET(彙整表!F$1,MATCH($A44&amp;$B44,彙整表!$L$2:$L$79,0),0),"")</f>
        <v>張鈞凱</v>
      </c>
      <c r="G44" s="1" t="str">
        <f ca="1">IFERROR(OFFSET(彙整表!G$1,MATCH($A44&amp;$B44,彙整表!$L$2:$L$79,0),0),"")</f>
        <v>曾建智</v>
      </c>
      <c r="H44" s="1">
        <f ca="1">IFERROR(OFFSET(彙整表!H$1,MATCH($A44&amp;$B44,彙整表!$L$2:$L$79,0),0),"")</f>
        <v>0</v>
      </c>
      <c r="I44" s="1">
        <f ca="1">IFERROR(OFFSET(彙整表!I$1,MATCH($A44&amp;$B44,彙整表!$L$2:$L$79,0),0),"")</f>
        <v>0</v>
      </c>
      <c r="J44" s="1">
        <f ca="1">IFERROR(OFFSET(彙整表!J$1,MATCH($A44&amp;$B44,彙整表!$L$2:$L$79,0),0),"")</f>
        <v>0</v>
      </c>
      <c r="K44" s="1">
        <f ca="1">IFERROR(OFFSET(彙整表!K$1,MATCH($A44&amp;$B44,彙整表!$L$2:$L$79,0),0),"")</f>
        <v>0</v>
      </c>
    </row>
    <row r="45" spans="1:11" x14ac:dyDescent="0.2">
      <c r="A45" s="3" t="s">
        <v>35</v>
      </c>
      <c r="B45" s="3">
        <v>5</v>
      </c>
      <c r="C45" s="1" t="str">
        <f ca="1">IFERROR(OFFSET(彙整表!C$1,MATCH($A45&amp;$B45,彙整表!$L$2:$L$79,0),0),"")</f>
        <v>林莘澄</v>
      </c>
      <c r="D45" s="1" t="str">
        <f ca="1">IFERROR(OFFSET(彙整表!D$1,MATCH($A45&amp;$B45,彙整表!$L$2:$L$79,0),0),"")</f>
        <v>孫語彤</v>
      </c>
      <c r="E45" s="1" t="str">
        <f ca="1">IFERROR(OFFSET(彙整表!E$1,MATCH($A45&amp;$B45,彙整表!$L$2:$L$79,0),0),"")</f>
        <v>賴彥瑾</v>
      </c>
      <c r="F45" s="1" t="str">
        <f ca="1">IFERROR(OFFSET(彙整表!F$1,MATCH($A45&amp;$B45,彙整表!$L$2:$L$79,0),0),"")</f>
        <v>李禹威</v>
      </c>
      <c r="G45" s="1" t="str">
        <f ca="1">IFERROR(OFFSET(彙整表!G$1,MATCH($A45&amp;$B45,彙整表!$L$2:$L$79,0),0),"")</f>
        <v>周煥承</v>
      </c>
      <c r="H45" s="1" t="str">
        <f ca="1">IFERROR(OFFSET(彙整表!H$1,MATCH($A45&amp;$B45,彙整表!$L$2:$L$79,0),0),"")</f>
        <v>林莘叡</v>
      </c>
      <c r="I45" s="1">
        <f ca="1">IFERROR(OFFSET(彙整表!I$1,MATCH($A45&amp;$B45,彙整表!$L$2:$L$79,0),0),"")</f>
        <v>0</v>
      </c>
      <c r="J45" s="1">
        <f ca="1">IFERROR(OFFSET(彙整表!J$1,MATCH($A45&amp;$B45,彙整表!$L$2:$L$79,0),0),"")</f>
        <v>0</v>
      </c>
      <c r="K45" s="1">
        <f ca="1">IFERROR(OFFSET(彙整表!K$1,MATCH($A45&amp;$B45,彙整表!$L$2:$L$79,0),0),"")</f>
        <v>0</v>
      </c>
    </row>
    <row r="46" spans="1:11" x14ac:dyDescent="0.2">
      <c r="A46" s="3" t="s">
        <v>35</v>
      </c>
      <c r="B46" s="3">
        <v>6</v>
      </c>
      <c r="C46" s="1" t="str">
        <f ca="1">IFERROR(OFFSET(彙整表!C$1,MATCH($A46&amp;$B46,彙整表!$L$2:$L$79,0),0),"")</f>
        <v>田渤琇</v>
      </c>
      <c r="D46" s="1" t="str">
        <f ca="1">IFERROR(OFFSET(彙整表!D$1,MATCH($A46&amp;$B46,彙整表!$L$2:$L$79,0),0),"")</f>
        <v>王丞洋</v>
      </c>
      <c r="E46" s="1" t="str">
        <f ca="1">IFERROR(OFFSET(彙整表!E$1,MATCH($A46&amp;$B46,彙整表!$L$2:$L$79,0),0),"")</f>
        <v>蔡武諺</v>
      </c>
      <c r="F46" s="1" t="str">
        <f ca="1">IFERROR(OFFSET(彙整表!F$1,MATCH($A46&amp;$B46,彙整表!$L$2:$L$79,0),0),"")</f>
        <v>黃心澄</v>
      </c>
      <c r="G46" s="1" t="str">
        <f ca="1">IFERROR(OFFSET(彙整表!G$1,MATCH($A46&amp;$B46,彙整表!$L$2:$L$79,0),0),"")</f>
        <v>王晨希</v>
      </c>
      <c r="H46" s="1">
        <f ca="1">IFERROR(OFFSET(彙整表!H$1,MATCH($A46&amp;$B46,彙整表!$L$2:$L$79,0),0),"")</f>
        <v>0</v>
      </c>
      <c r="I46" s="1">
        <f ca="1">IFERROR(OFFSET(彙整表!I$1,MATCH($A46&amp;$B46,彙整表!$L$2:$L$79,0),0),"")</f>
        <v>0</v>
      </c>
      <c r="J46" s="1">
        <f ca="1">IFERROR(OFFSET(彙整表!J$1,MATCH($A46&amp;$B46,彙整表!$L$2:$L$79,0),0),"")</f>
        <v>0</v>
      </c>
      <c r="K46" s="1">
        <f ca="1">IFERROR(OFFSET(彙整表!K$1,MATCH($A46&amp;$B46,彙整表!$L$2:$L$79,0),0),"")</f>
        <v>0</v>
      </c>
    </row>
    <row r="47" spans="1:11" x14ac:dyDescent="0.2">
      <c r="A47" s="3" t="s">
        <v>35</v>
      </c>
      <c r="B47" s="3">
        <v>7</v>
      </c>
      <c r="C47" s="1" t="str">
        <f ca="1">IFERROR(OFFSET(彙整表!C$1,MATCH($A47&amp;$B47,彙整表!$L$2:$L$79,0),0),"")</f>
        <v>郭綺芸</v>
      </c>
      <c r="D47" s="1" t="str">
        <f ca="1">IFERROR(OFFSET(彙整表!D$1,MATCH($A47&amp;$B47,彙整表!$L$2:$L$79,0),0),"")</f>
        <v>林郁晨</v>
      </c>
      <c r="E47" s="1" t="str">
        <f ca="1">IFERROR(OFFSET(彙整表!E$1,MATCH($A47&amp;$B47,彙整表!$L$2:$L$79,0),0),"")</f>
        <v>陳廷洛</v>
      </c>
      <c r="F47" s="1" t="str">
        <f ca="1">IFERROR(OFFSET(彙整表!F$1,MATCH($A47&amp;$B47,彙整表!$L$2:$L$79,0),0),"")</f>
        <v>李少白</v>
      </c>
      <c r="G47" s="1" t="str">
        <f ca="1">IFERROR(OFFSET(彙整表!G$1,MATCH($A47&amp;$B47,彙整表!$L$2:$L$79,0),0),"")</f>
        <v>李尚磊</v>
      </c>
      <c r="H47" s="1" t="str">
        <f ca="1">IFERROR(OFFSET(彙整表!H$1,MATCH($A47&amp;$B47,彙整表!$L$2:$L$79,0),0),"")</f>
        <v>姜安宇</v>
      </c>
      <c r="I47" s="1" t="str">
        <f ca="1">IFERROR(OFFSET(彙整表!I$1,MATCH($A47&amp;$B47,彙整表!$L$2:$L$79,0),0),"")</f>
        <v>李聖杰</v>
      </c>
      <c r="J47" s="1">
        <f ca="1">IFERROR(OFFSET(彙整表!J$1,MATCH($A47&amp;$B47,彙整表!$L$2:$L$79,0),0),"")</f>
        <v>0</v>
      </c>
      <c r="K47" s="1">
        <f ca="1">IFERROR(OFFSET(彙整表!K$1,MATCH($A47&amp;$B47,彙整表!$L$2:$L$79,0),0),"")</f>
        <v>0</v>
      </c>
    </row>
    <row r="48" spans="1:11" x14ac:dyDescent="0.2">
      <c r="A48" s="3" t="s">
        <v>35</v>
      </c>
      <c r="B48" s="3">
        <v>8</v>
      </c>
      <c r="C48" s="1" t="str">
        <f ca="1">IFERROR(OFFSET(彙整表!C$1,MATCH($A48&amp;$B48,彙整表!$L$2:$L$79,0),0),"")</f>
        <v>黃亭瑀</v>
      </c>
      <c r="D48" s="1" t="str">
        <f ca="1">IFERROR(OFFSET(彙整表!D$1,MATCH($A48&amp;$B48,彙整表!$L$2:$L$79,0),0),"")</f>
        <v>高語濃</v>
      </c>
      <c r="E48" s="1" t="str">
        <f ca="1">IFERROR(OFFSET(彙整表!E$1,MATCH($A48&amp;$B48,彙整表!$L$2:$L$79,0),0),"")</f>
        <v>陳亮佑</v>
      </c>
      <c r="F48" s="1" t="str">
        <f ca="1">IFERROR(OFFSET(彙整表!F$1,MATCH($A48&amp;$B48,彙整表!$L$2:$L$79,0),0),"")</f>
        <v>李柏儒</v>
      </c>
      <c r="G48" s="1" t="str">
        <f ca="1">IFERROR(OFFSET(彙整表!G$1,MATCH($A48&amp;$B48,彙整表!$L$2:$L$79,0),0),"")</f>
        <v>劉上齊</v>
      </c>
      <c r="H48" s="1">
        <f ca="1">IFERROR(OFFSET(彙整表!H$1,MATCH($A48&amp;$B48,彙整表!$L$2:$L$79,0),0),"")</f>
        <v>0</v>
      </c>
      <c r="I48" s="1">
        <f ca="1">IFERROR(OFFSET(彙整表!I$1,MATCH($A48&amp;$B48,彙整表!$L$2:$L$79,0),0),"")</f>
        <v>0</v>
      </c>
      <c r="J48" s="1">
        <f ca="1">IFERROR(OFFSET(彙整表!J$1,MATCH($A48&amp;$B48,彙整表!$L$2:$L$79,0),0),"")</f>
        <v>0</v>
      </c>
      <c r="K48" s="1">
        <f ca="1">IFERROR(OFFSET(彙整表!K$1,MATCH($A48&amp;$B48,彙整表!$L$2:$L$79,0),0),"")</f>
        <v>0</v>
      </c>
    </row>
    <row r="49" spans="1:11" x14ac:dyDescent="0.2">
      <c r="A49" s="3" t="s">
        <v>35</v>
      </c>
      <c r="B49" s="3">
        <v>9</v>
      </c>
      <c r="C49" s="1" t="str">
        <f ca="1">IFERROR(OFFSET(彙整表!C$1,MATCH($A49&amp;$B49,彙整表!$L$2:$L$79,0),0),"")</f>
        <v>莊千霈</v>
      </c>
      <c r="D49" s="1" t="str">
        <f ca="1">IFERROR(OFFSET(彙整表!D$1,MATCH($A49&amp;$B49,彙整表!$L$2:$L$79,0),0),"")</f>
        <v>蔡沛晴</v>
      </c>
      <c r="E49" s="1" t="str">
        <f ca="1">IFERROR(OFFSET(彙整表!E$1,MATCH($A49&amp;$B49,彙整表!$L$2:$L$79,0),0),"")</f>
        <v>唐書平</v>
      </c>
      <c r="F49" s="1" t="str">
        <f ca="1">IFERROR(OFFSET(彙整表!F$1,MATCH($A49&amp;$B49,彙整表!$L$2:$L$79,0),0),"")</f>
        <v>尹新崴</v>
      </c>
      <c r="G49" s="1" t="str">
        <f ca="1">IFERROR(OFFSET(彙整表!G$1,MATCH($A49&amp;$B49,彙整表!$L$2:$L$79,0),0),"")</f>
        <v>葉欣怡</v>
      </c>
      <c r="H49" s="1">
        <f ca="1">IFERROR(OFFSET(彙整表!H$1,MATCH($A49&amp;$B49,彙整表!$L$2:$L$79,0),0),"")</f>
        <v>0</v>
      </c>
      <c r="I49" s="1">
        <f ca="1">IFERROR(OFFSET(彙整表!I$1,MATCH($A49&amp;$B49,彙整表!$L$2:$L$79,0),0),"")</f>
        <v>0</v>
      </c>
      <c r="J49" s="1">
        <f ca="1">IFERROR(OFFSET(彙整表!J$1,MATCH($A49&amp;$B49,彙整表!$L$2:$L$79,0),0),"")</f>
        <v>0</v>
      </c>
      <c r="K49" s="1">
        <f ca="1">IFERROR(OFFSET(彙整表!K$1,MATCH($A49&amp;$B49,彙整表!$L$2:$L$79,0),0),"")</f>
        <v>0</v>
      </c>
    </row>
    <row r="50" spans="1:11" x14ac:dyDescent="0.2">
      <c r="A50" s="3" t="s">
        <v>35</v>
      </c>
      <c r="B50" s="3">
        <v>10</v>
      </c>
      <c r="C50" s="1" t="str">
        <f ca="1">IFERROR(OFFSET(彙整表!C$1,MATCH($A50&amp;$B50,彙整表!$L$2:$L$79,0),0),"")</f>
        <v>馮品瑄</v>
      </c>
      <c r="D50" s="1" t="str">
        <f ca="1">IFERROR(OFFSET(彙整表!D$1,MATCH($A50&amp;$B50,彙整表!$L$2:$L$79,0),0),"")</f>
        <v>鄒子惟</v>
      </c>
      <c r="E50" s="1" t="str">
        <f ca="1">IFERROR(OFFSET(彙整表!E$1,MATCH($A50&amp;$B50,彙整表!$L$2:$L$79,0),0),"")</f>
        <v>黃妤芹</v>
      </c>
      <c r="F50" s="1" t="str">
        <f ca="1">IFERROR(OFFSET(彙整表!F$1,MATCH($A50&amp;$B50,彙整表!$L$2:$L$79,0),0),"")</f>
        <v>尹山徽</v>
      </c>
      <c r="G50" s="1" t="str">
        <f ca="1">IFERROR(OFFSET(彙整表!G$1,MATCH($A50&amp;$B50,彙整表!$L$2:$L$79,0),0),"")</f>
        <v>簡至羚</v>
      </c>
      <c r="H50" s="1">
        <f ca="1">IFERROR(OFFSET(彙整表!H$1,MATCH($A50&amp;$B50,彙整表!$L$2:$L$79,0),0),"")</f>
        <v>0</v>
      </c>
      <c r="I50" s="1">
        <f ca="1">IFERROR(OFFSET(彙整表!I$1,MATCH($A50&amp;$B50,彙整表!$L$2:$L$79,0),0),"")</f>
        <v>0</v>
      </c>
      <c r="J50" s="1">
        <f ca="1">IFERROR(OFFSET(彙整表!J$1,MATCH($A50&amp;$B50,彙整表!$L$2:$L$79,0),0),"")</f>
        <v>0</v>
      </c>
      <c r="K50" s="1">
        <f ca="1">IFERROR(OFFSET(彙整表!K$1,MATCH($A50&amp;$B50,彙整表!$L$2:$L$79,0),0),"")</f>
        <v>0</v>
      </c>
    </row>
    <row r="51" spans="1:11" x14ac:dyDescent="0.2">
      <c r="A51" s="3" t="s">
        <v>35</v>
      </c>
      <c r="B51" s="3">
        <v>11</v>
      </c>
      <c r="C51" s="1" t="str">
        <f ca="1">IFERROR(OFFSET(彙整表!C$1,MATCH($A51&amp;$B51,彙整表!$L$2:$L$79,0),0),"")</f>
        <v>吳政憲</v>
      </c>
      <c r="D51" s="1" t="str">
        <f ca="1">IFERROR(OFFSET(彙整表!D$1,MATCH($A51&amp;$B51,彙整表!$L$2:$L$79,0),0),"")</f>
        <v>侯伯昌</v>
      </c>
      <c r="E51" s="1" t="str">
        <f ca="1">IFERROR(OFFSET(彙整表!E$1,MATCH($A51&amp;$B51,彙整表!$L$2:$L$79,0),0),"")</f>
        <v>彭澄菩</v>
      </c>
      <c r="F51" s="1" t="str">
        <f ca="1">IFERROR(OFFSET(彙整表!F$1,MATCH($A51&amp;$B51,彙整表!$L$2:$L$79,0),0),"")</f>
        <v>游登媄</v>
      </c>
      <c r="G51" s="1" t="str">
        <f ca="1">IFERROR(OFFSET(彙整表!G$1,MATCH($A51&amp;$B51,彙整表!$L$2:$L$79,0),0),"")</f>
        <v>朱秀庭</v>
      </c>
      <c r="H51" s="1">
        <f ca="1">IFERROR(OFFSET(彙整表!H$1,MATCH($A51&amp;$B51,彙整表!$L$2:$L$79,0),0),"")</f>
        <v>0</v>
      </c>
      <c r="I51" s="1">
        <f ca="1">IFERROR(OFFSET(彙整表!I$1,MATCH($A51&amp;$B51,彙整表!$L$2:$L$79,0),0),"")</f>
        <v>0</v>
      </c>
      <c r="J51" s="1">
        <f ca="1">IFERROR(OFFSET(彙整表!J$1,MATCH($A51&amp;$B51,彙整表!$L$2:$L$79,0),0),"")</f>
        <v>0</v>
      </c>
      <c r="K51" s="1">
        <f ca="1">IFERROR(OFFSET(彙整表!K$1,MATCH($A51&amp;$B51,彙整表!$L$2:$L$79,0),0),"")</f>
        <v>0</v>
      </c>
    </row>
    <row r="52" spans="1:11" x14ac:dyDescent="0.2">
      <c r="A52" s="3" t="s">
        <v>35</v>
      </c>
      <c r="B52" s="3">
        <v>12</v>
      </c>
      <c r="C52" s="1" t="str">
        <f ca="1">IFERROR(OFFSET(彙整表!C$1,MATCH($A52&amp;$B52,彙整表!$L$2:$L$79,0),0),"")</f>
        <v/>
      </c>
      <c r="D52" s="1" t="str">
        <f ca="1">IFERROR(OFFSET(彙整表!D$1,MATCH($A52&amp;$B52,彙整表!$L$2:$L$79,0),0),"")</f>
        <v/>
      </c>
      <c r="E52" s="1" t="str">
        <f ca="1">IFERROR(OFFSET(彙整表!E$1,MATCH($A52&amp;$B52,彙整表!$L$2:$L$79,0),0),"")</f>
        <v/>
      </c>
      <c r="F52" s="1" t="str">
        <f ca="1">IFERROR(OFFSET(彙整表!F$1,MATCH($A52&amp;$B52,彙整表!$L$2:$L$79,0),0),"")</f>
        <v/>
      </c>
      <c r="G52" s="1" t="str">
        <f ca="1">IFERROR(OFFSET(彙整表!G$1,MATCH($A52&amp;$B52,彙整表!$L$2:$L$79,0),0),"")</f>
        <v/>
      </c>
      <c r="H52" s="1" t="str">
        <f ca="1">IFERROR(OFFSET(彙整表!H$1,MATCH($A52&amp;$B52,彙整表!$L$2:$L$79,0),0),"")</f>
        <v/>
      </c>
      <c r="I52" s="1" t="str">
        <f ca="1">IFERROR(OFFSET(彙整表!I$1,MATCH($A52&amp;$B52,彙整表!$L$2:$L$79,0),0),"")</f>
        <v/>
      </c>
      <c r="J52" s="1" t="str">
        <f ca="1">IFERROR(OFFSET(彙整表!J$1,MATCH($A52&amp;$B52,彙整表!$L$2:$L$79,0),0),"")</f>
        <v/>
      </c>
      <c r="K52" s="1" t="str">
        <f ca="1">IFERROR(OFFSET(彙整表!K$1,MATCH($A52&amp;$B52,彙整表!$L$2:$L$79,0),0),"")</f>
        <v/>
      </c>
    </row>
    <row r="53" spans="1:11" x14ac:dyDescent="0.2">
      <c r="A53" s="3" t="s">
        <v>35</v>
      </c>
      <c r="B53" s="3">
        <v>13</v>
      </c>
      <c r="C53" s="1" t="str">
        <f ca="1">IFERROR(OFFSET(彙整表!C$1,MATCH($A53&amp;$B53,彙整表!$L$2:$L$79,0),0),"")</f>
        <v/>
      </c>
      <c r="D53" s="1" t="str">
        <f ca="1">IFERROR(OFFSET(彙整表!D$1,MATCH($A53&amp;$B53,彙整表!$L$2:$L$79,0),0),"")</f>
        <v/>
      </c>
      <c r="E53" s="1" t="str">
        <f ca="1">IFERROR(OFFSET(彙整表!E$1,MATCH($A53&amp;$B53,彙整表!$L$2:$L$79,0),0),"")</f>
        <v/>
      </c>
      <c r="F53" s="1" t="str">
        <f ca="1">IFERROR(OFFSET(彙整表!F$1,MATCH($A53&amp;$B53,彙整表!$L$2:$L$79,0),0),"")</f>
        <v/>
      </c>
      <c r="G53" s="1" t="str">
        <f ca="1">IFERROR(OFFSET(彙整表!G$1,MATCH($A53&amp;$B53,彙整表!$L$2:$L$79,0),0),"")</f>
        <v/>
      </c>
      <c r="H53" s="1" t="str">
        <f ca="1">IFERROR(OFFSET(彙整表!H$1,MATCH($A53&amp;$B53,彙整表!$L$2:$L$79,0),0),"")</f>
        <v/>
      </c>
      <c r="I53" s="1" t="str">
        <f ca="1">IFERROR(OFFSET(彙整表!I$1,MATCH($A53&amp;$B53,彙整表!$L$2:$L$79,0),0),"")</f>
        <v/>
      </c>
      <c r="J53" s="1" t="str">
        <f ca="1">IFERROR(OFFSET(彙整表!J$1,MATCH($A53&amp;$B53,彙整表!$L$2:$L$79,0),0),"")</f>
        <v/>
      </c>
      <c r="K53" s="1" t="str">
        <f ca="1">IFERROR(OFFSET(彙整表!K$1,MATCH($A53&amp;$B53,彙整表!$L$2:$L$79,0),0),"")</f>
        <v/>
      </c>
    </row>
    <row r="54" spans="1:11" x14ac:dyDescent="0.2">
      <c r="A54" s="3" t="s">
        <v>73</v>
      </c>
      <c r="B54" s="3">
        <v>1</v>
      </c>
      <c r="C54" s="1" t="str">
        <f ca="1">IFERROR(OFFSET(彙整表!C$1,MATCH($A54&amp;$B54,彙整表!$L$2:$L$79,0),0),"")</f>
        <v>彭雋庭</v>
      </c>
      <c r="D54" s="1" t="str">
        <f ca="1">IFERROR(OFFSET(彙整表!D$1,MATCH($A54&amp;$B54,彙整表!$L$2:$L$79,0),0),"")</f>
        <v>方楷淵</v>
      </c>
      <c r="E54" s="1" t="str">
        <f ca="1">IFERROR(OFFSET(彙整表!E$1,MATCH($A54&amp;$B54,彙整表!$L$2:$L$79,0),0),"")</f>
        <v>張婉萍</v>
      </c>
      <c r="F54" s="1" t="str">
        <f ca="1">IFERROR(OFFSET(彙整表!F$1,MATCH($A54&amp;$B54,彙整表!$L$2:$L$79,0),0),"")</f>
        <v>許恩婕</v>
      </c>
      <c r="G54" s="1" t="str">
        <f ca="1">IFERROR(OFFSET(彙整表!G$1,MATCH($A54&amp;$B54,彙整表!$L$2:$L$79,0),0),"")</f>
        <v>廖心嵐</v>
      </c>
      <c r="H54" s="1">
        <f ca="1">IFERROR(OFFSET(彙整表!H$1,MATCH($A54&amp;$B54,彙整表!$L$2:$L$79,0),0),"")</f>
        <v>0</v>
      </c>
      <c r="I54" s="1">
        <f ca="1">IFERROR(OFFSET(彙整表!I$1,MATCH($A54&amp;$B54,彙整表!$L$2:$L$79,0),0),"")</f>
        <v>0</v>
      </c>
      <c r="J54" s="1">
        <f ca="1">IFERROR(OFFSET(彙整表!J$1,MATCH($A54&amp;$B54,彙整表!$L$2:$L$79,0),0),"")</f>
        <v>0</v>
      </c>
      <c r="K54" s="1">
        <f ca="1">IFERROR(OFFSET(彙整表!K$1,MATCH($A54&amp;$B54,彙整表!$L$2:$L$79,0),0),"")</f>
        <v>0</v>
      </c>
    </row>
    <row r="55" spans="1:11" x14ac:dyDescent="0.2">
      <c r="A55" s="3" t="s">
        <v>73</v>
      </c>
      <c r="B55" s="3">
        <v>2</v>
      </c>
      <c r="C55" s="1" t="str">
        <f ca="1">IFERROR(OFFSET(彙整表!C$1,MATCH($A55&amp;$B55,彙整表!$L$2:$L$79,0),0),"")</f>
        <v>陳佑瑄</v>
      </c>
      <c r="D55" s="1" t="str">
        <f ca="1">IFERROR(OFFSET(彙整表!D$1,MATCH($A55&amp;$B55,彙整表!$L$2:$L$79,0),0),"")</f>
        <v>桑語娸</v>
      </c>
      <c r="E55" s="1" t="str">
        <f ca="1">IFERROR(OFFSET(彙整表!E$1,MATCH($A55&amp;$B55,彙整表!$L$2:$L$79,0),0),"")</f>
        <v>賴映筑</v>
      </c>
      <c r="F55" s="1" t="str">
        <f ca="1">IFERROR(OFFSET(彙整表!F$1,MATCH($A55&amp;$B55,彙整表!$L$2:$L$79,0),0),"")</f>
        <v>徐廷豪</v>
      </c>
      <c r="G55" s="1" t="str">
        <f ca="1">IFERROR(OFFSET(彙整表!G$1,MATCH($A55&amp;$B55,彙整表!$L$2:$L$79,0),0),"")</f>
        <v>桑語婕</v>
      </c>
      <c r="H55" s="1">
        <f ca="1">IFERROR(OFFSET(彙整表!H$1,MATCH($A55&amp;$B55,彙整表!$L$2:$L$79,0),0),"")</f>
        <v>0</v>
      </c>
      <c r="I55" s="1">
        <f ca="1">IFERROR(OFFSET(彙整表!I$1,MATCH($A55&amp;$B55,彙整表!$L$2:$L$79,0),0),"")</f>
        <v>0</v>
      </c>
      <c r="J55" s="1">
        <f ca="1">IFERROR(OFFSET(彙整表!J$1,MATCH($A55&amp;$B55,彙整表!$L$2:$L$79,0),0),"")</f>
        <v>0</v>
      </c>
      <c r="K55" s="1">
        <f ca="1">IFERROR(OFFSET(彙整表!K$1,MATCH($A55&amp;$B55,彙整表!$L$2:$L$79,0),0),"")</f>
        <v>0</v>
      </c>
    </row>
    <row r="56" spans="1:11" x14ac:dyDescent="0.2">
      <c r="A56" s="3" t="s">
        <v>73</v>
      </c>
      <c r="B56" s="3">
        <v>3</v>
      </c>
      <c r="C56" s="1" t="str">
        <f ca="1">IFERROR(OFFSET(彙整表!C$1,MATCH($A56&amp;$B56,彙整表!$L$2:$L$79,0),0),"")</f>
        <v>胡又丹</v>
      </c>
      <c r="D56" s="1" t="str">
        <f ca="1">IFERROR(OFFSET(彙整表!D$1,MATCH($A56&amp;$B56,彙整表!$L$2:$L$79,0),0),"")</f>
        <v>葉劉旂</v>
      </c>
      <c r="E56" s="1" t="str">
        <f ca="1">IFERROR(OFFSET(彙整表!E$1,MATCH($A56&amp;$B56,彙整表!$L$2:$L$79,0),0),"")</f>
        <v>何巧樂</v>
      </c>
      <c r="F56" s="1" t="str">
        <f ca="1">IFERROR(OFFSET(彙整表!F$1,MATCH($A56&amp;$B56,彙整表!$L$2:$L$79,0),0),"")</f>
        <v>陳雋沅</v>
      </c>
      <c r="G56" s="1" t="str">
        <f ca="1">IFERROR(OFFSET(彙整表!G$1,MATCH($A56&amp;$B56,彙整表!$L$2:$L$79,0),0),"")</f>
        <v>周加恩</v>
      </c>
      <c r="H56" s="1">
        <f ca="1">IFERROR(OFFSET(彙整表!H$1,MATCH($A56&amp;$B56,彙整表!$L$2:$L$79,0),0),"")</f>
        <v>0</v>
      </c>
      <c r="I56" s="1">
        <f ca="1">IFERROR(OFFSET(彙整表!I$1,MATCH($A56&amp;$B56,彙整表!$L$2:$L$79,0),0),"")</f>
        <v>0</v>
      </c>
      <c r="J56" s="1">
        <f ca="1">IFERROR(OFFSET(彙整表!J$1,MATCH($A56&amp;$B56,彙整表!$L$2:$L$79,0),0),"")</f>
        <v>0</v>
      </c>
      <c r="K56" s="1">
        <f ca="1">IFERROR(OFFSET(彙整表!K$1,MATCH($A56&amp;$B56,彙整表!$L$2:$L$79,0),0),"")</f>
        <v>0</v>
      </c>
    </row>
    <row r="57" spans="1:11" x14ac:dyDescent="0.2">
      <c r="A57" s="3" t="s">
        <v>73</v>
      </c>
      <c r="B57" s="3">
        <v>4</v>
      </c>
      <c r="C57" s="1" t="str">
        <f ca="1">IFERROR(OFFSET(彙整表!C$1,MATCH($A57&amp;$B57,彙整表!$L$2:$L$79,0),0),"")</f>
        <v>黃世竣</v>
      </c>
      <c r="D57" s="1" t="str">
        <f ca="1">IFERROR(OFFSET(彙整表!D$1,MATCH($A57&amp;$B57,彙整表!$L$2:$L$79,0),0),"")</f>
        <v>鄭詠心</v>
      </c>
      <c r="E57" s="1" t="str">
        <f ca="1">IFERROR(OFFSET(彙整表!E$1,MATCH($A57&amp;$B57,彙整表!$L$2:$L$79,0),0),"")</f>
        <v>胡振鈴</v>
      </c>
      <c r="F57" s="1" t="str">
        <f ca="1">IFERROR(OFFSET(彙整表!F$1,MATCH($A57&amp;$B57,彙整表!$L$2:$L$79,0),0),"")</f>
        <v>李芸萍</v>
      </c>
      <c r="G57" s="1" t="str">
        <f ca="1">IFERROR(OFFSET(彙整表!G$1,MATCH($A57&amp;$B57,彙整表!$L$2:$L$79,0),0),"")</f>
        <v>陳守辰</v>
      </c>
      <c r="H57" s="1">
        <f ca="1">IFERROR(OFFSET(彙整表!H$1,MATCH($A57&amp;$B57,彙整表!$L$2:$L$79,0),0),"")</f>
        <v>0</v>
      </c>
      <c r="I57" s="1">
        <f ca="1">IFERROR(OFFSET(彙整表!I$1,MATCH($A57&amp;$B57,彙整表!$L$2:$L$79,0),0),"")</f>
        <v>0</v>
      </c>
      <c r="J57" s="1">
        <f ca="1">IFERROR(OFFSET(彙整表!J$1,MATCH($A57&amp;$B57,彙整表!$L$2:$L$79,0),0),"")</f>
        <v>0</v>
      </c>
      <c r="K57" s="1">
        <f ca="1">IFERROR(OFFSET(彙整表!K$1,MATCH($A57&amp;$B57,彙整表!$L$2:$L$79,0),0),"")</f>
        <v>0</v>
      </c>
    </row>
    <row r="58" spans="1:11" x14ac:dyDescent="0.2">
      <c r="A58" s="3" t="s">
        <v>73</v>
      </c>
      <c r="B58" s="3">
        <v>5</v>
      </c>
      <c r="C58" s="1" t="str">
        <f ca="1">IFERROR(OFFSET(彙整表!C$1,MATCH($A58&amp;$B58,彙整表!$L$2:$L$79,0),0),"")</f>
        <v>林婕妤</v>
      </c>
      <c r="D58" s="1" t="str">
        <f ca="1">IFERROR(OFFSET(彙整表!D$1,MATCH($A58&amp;$B58,彙整表!$L$2:$L$79,0),0),"")</f>
        <v>李宥朋</v>
      </c>
      <c r="E58" s="1" t="str">
        <f ca="1">IFERROR(OFFSET(彙整表!E$1,MATCH($A58&amp;$B58,彙整表!$L$2:$L$79,0),0),"")</f>
        <v>陳芯琳</v>
      </c>
      <c r="F58" s="1" t="str">
        <f ca="1">IFERROR(OFFSET(彙整表!F$1,MATCH($A58&amp;$B58,彙整表!$L$2:$L$79,0),0),"")</f>
        <v>謝育愷</v>
      </c>
      <c r="G58" s="1" t="str">
        <f ca="1">IFERROR(OFFSET(彙整表!G$1,MATCH($A58&amp;$B58,彙整表!$L$2:$L$79,0),0),"")</f>
        <v>王瑜應</v>
      </c>
      <c r="H58" s="1">
        <f ca="1">IFERROR(OFFSET(彙整表!H$1,MATCH($A58&amp;$B58,彙整表!$L$2:$L$79,0),0),"")</f>
        <v>0</v>
      </c>
      <c r="I58" s="1">
        <f ca="1">IFERROR(OFFSET(彙整表!I$1,MATCH($A58&amp;$B58,彙整表!$L$2:$L$79,0),0),"")</f>
        <v>0</v>
      </c>
      <c r="J58" s="1">
        <f ca="1">IFERROR(OFFSET(彙整表!J$1,MATCH($A58&amp;$B58,彙整表!$L$2:$L$79,0),0),"")</f>
        <v>0</v>
      </c>
      <c r="K58" s="1">
        <f ca="1">IFERROR(OFFSET(彙整表!K$1,MATCH($A58&amp;$B58,彙整表!$L$2:$L$79,0),0),"")</f>
        <v>0</v>
      </c>
    </row>
    <row r="59" spans="1:11" x14ac:dyDescent="0.2">
      <c r="A59" s="3" t="s">
        <v>73</v>
      </c>
      <c r="B59" s="3">
        <v>6</v>
      </c>
      <c r="C59" s="1" t="str">
        <f ca="1">IFERROR(OFFSET(彙整表!C$1,MATCH($A59&amp;$B59,彙整表!$L$2:$L$79,0),0),"")</f>
        <v>徐家軒</v>
      </c>
      <c r="D59" s="1" t="str">
        <f ca="1">IFERROR(OFFSET(彙整表!D$1,MATCH($A59&amp;$B59,彙整表!$L$2:$L$79,0),0),"")</f>
        <v>陳皞霆</v>
      </c>
      <c r="E59" s="1" t="str">
        <f ca="1">IFERROR(OFFSET(彙整表!E$1,MATCH($A59&amp;$B59,彙整表!$L$2:$L$79,0),0),"")</f>
        <v>胡瀞予</v>
      </c>
      <c r="F59" s="1" t="str">
        <f ca="1">IFERROR(OFFSET(彙整表!F$1,MATCH($A59&amp;$B59,彙整表!$L$2:$L$79,0),0),"")</f>
        <v>鍾茲涵</v>
      </c>
      <c r="G59" s="1" t="str">
        <f ca="1">IFERROR(OFFSET(彙整表!G$1,MATCH($A59&amp;$B59,彙整表!$L$2:$L$79,0),0),"")</f>
        <v>曹沛汝</v>
      </c>
      <c r="H59" s="1" t="str">
        <f ca="1">IFERROR(OFFSET(彙整表!H$1,MATCH($A59&amp;$B59,彙整表!$L$2:$L$79,0),0),"")</f>
        <v>王于嘉</v>
      </c>
      <c r="I59" s="1">
        <f ca="1">IFERROR(OFFSET(彙整表!I$1,MATCH($A59&amp;$B59,彙整表!$L$2:$L$79,0),0),"")</f>
        <v>0</v>
      </c>
      <c r="J59" s="1">
        <f ca="1">IFERROR(OFFSET(彙整表!J$1,MATCH($A59&amp;$B59,彙整表!$L$2:$L$79,0),0),"")</f>
        <v>0</v>
      </c>
      <c r="K59" s="1">
        <f ca="1">IFERROR(OFFSET(彙整表!K$1,MATCH($A59&amp;$B59,彙整表!$L$2:$L$79,0),0),"")</f>
        <v>0</v>
      </c>
    </row>
    <row r="60" spans="1:11" x14ac:dyDescent="0.2">
      <c r="A60" s="3" t="s">
        <v>73</v>
      </c>
      <c r="B60" s="3">
        <v>7</v>
      </c>
      <c r="C60" s="1" t="str">
        <f ca="1">IFERROR(OFFSET(彙整表!C$1,MATCH($A60&amp;$B60,彙整表!$L$2:$L$79,0),0),"")</f>
        <v>劉宣妤</v>
      </c>
      <c r="D60" s="1" t="str">
        <f ca="1">IFERROR(OFFSET(彙整表!D$1,MATCH($A60&amp;$B60,彙整表!$L$2:$L$79,0),0),"")</f>
        <v>徐婕純</v>
      </c>
      <c r="E60" s="1" t="str">
        <f ca="1">IFERROR(OFFSET(彙整表!E$1,MATCH($A60&amp;$B60,彙整表!$L$2:$L$79,0),0),"")</f>
        <v>胡予涵</v>
      </c>
      <c r="F60" s="1" t="str">
        <f ca="1">IFERROR(OFFSET(彙整表!F$1,MATCH($A60&amp;$B60,彙整表!$L$2:$L$79,0),0),"")</f>
        <v>陳琬琪</v>
      </c>
      <c r="G60" s="1" t="str">
        <f ca="1">IFERROR(OFFSET(彙整表!G$1,MATCH($A60&amp;$B60,彙整表!$L$2:$L$79,0),0),"")</f>
        <v>杜旻烜</v>
      </c>
      <c r="H60" s="1">
        <f ca="1">IFERROR(OFFSET(彙整表!H$1,MATCH($A60&amp;$B60,彙整表!$L$2:$L$79,0),0),"")</f>
        <v>0</v>
      </c>
      <c r="I60" s="1">
        <f ca="1">IFERROR(OFFSET(彙整表!I$1,MATCH($A60&amp;$B60,彙整表!$L$2:$L$79,0),0),"")</f>
        <v>0</v>
      </c>
      <c r="J60" s="1">
        <f ca="1">IFERROR(OFFSET(彙整表!J$1,MATCH($A60&amp;$B60,彙整表!$L$2:$L$79,0),0),"")</f>
        <v>0</v>
      </c>
      <c r="K60" s="1">
        <f ca="1">IFERROR(OFFSET(彙整表!K$1,MATCH($A60&amp;$B60,彙整表!$L$2:$L$79,0),0),"")</f>
        <v>0</v>
      </c>
    </row>
    <row r="61" spans="1:11" x14ac:dyDescent="0.2">
      <c r="A61" s="3" t="s">
        <v>73</v>
      </c>
      <c r="B61" s="3">
        <v>8</v>
      </c>
      <c r="C61" s="1" t="str">
        <f ca="1">IFERROR(OFFSET(彙整表!C$1,MATCH($A61&amp;$B61,彙整表!$L$2:$L$79,0),0),"")</f>
        <v>施淮茞</v>
      </c>
      <c r="D61" s="1" t="str">
        <f ca="1">IFERROR(OFFSET(彙整表!D$1,MATCH($A61&amp;$B61,彙整表!$L$2:$L$79,0),0),"")</f>
        <v>王勁翔</v>
      </c>
      <c r="E61" s="1" t="str">
        <f ca="1">IFERROR(OFFSET(彙整表!E$1,MATCH($A61&amp;$B61,彙整表!$L$2:$L$79,0),0),"")</f>
        <v>邱婕沂</v>
      </c>
      <c r="F61" s="1" t="str">
        <f ca="1">IFERROR(OFFSET(彙整表!F$1,MATCH($A61&amp;$B61,彙整表!$L$2:$L$79,0),0),"")</f>
        <v>吳沛恩</v>
      </c>
      <c r="G61" s="1" t="str">
        <f ca="1">IFERROR(OFFSET(彙整表!G$1,MATCH($A61&amp;$B61,彙整表!$L$2:$L$79,0),0),"")</f>
        <v>陳梓瑄</v>
      </c>
      <c r="H61" s="1">
        <f ca="1">IFERROR(OFFSET(彙整表!H$1,MATCH($A61&amp;$B61,彙整表!$L$2:$L$79,0),0),"")</f>
        <v>0</v>
      </c>
      <c r="I61" s="1">
        <f ca="1">IFERROR(OFFSET(彙整表!I$1,MATCH($A61&amp;$B61,彙整表!$L$2:$L$79,0),0),"")</f>
        <v>0</v>
      </c>
      <c r="J61" s="1">
        <f ca="1">IFERROR(OFFSET(彙整表!J$1,MATCH($A61&amp;$B61,彙整表!$L$2:$L$79,0),0),"")</f>
        <v>0</v>
      </c>
      <c r="K61" s="1">
        <f ca="1">IFERROR(OFFSET(彙整表!K$1,MATCH($A61&amp;$B61,彙整表!$L$2:$L$79,0),0),"")</f>
        <v>0</v>
      </c>
    </row>
    <row r="62" spans="1:11" x14ac:dyDescent="0.2">
      <c r="A62" s="3" t="s">
        <v>73</v>
      </c>
      <c r="B62" s="3">
        <v>9</v>
      </c>
      <c r="C62" s="1" t="str">
        <f ca="1">IFERROR(OFFSET(彙整表!C$1,MATCH($A62&amp;$B62,彙整表!$L$2:$L$79,0),0),"")</f>
        <v>邱品捷</v>
      </c>
      <c r="D62" s="1" t="str">
        <f ca="1">IFERROR(OFFSET(彙整表!D$1,MATCH($A62&amp;$B62,彙整表!$L$2:$L$79,0),0),"")</f>
        <v>詹辰歆</v>
      </c>
      <c r="E62" s="1" t="str">
        <f ca="1">IFERROR(OFFSET(彙整表!E$1,MATCH($A62&amp;$B62,彙整表!$L$2:$L$79,0),0),"")</f>
        <v>黃靖恬</v>
      </c>
      <c r="F62" s="1" t="str">
        <f ca="1">IFERROR(OFFSET(彙整表!F$1,MATCH($A62&amp;$B62,彙整表!$L$2:$L$79,0),0),"")</f>
        <v>林尚儀</v>
      </c>
      <c r="G62" s="1" t="str">
        <f ca="1">IFERROR(OFFSET(彙整表!G$1,MATCH($A62&amp;$B62,彙整表!$L$2:$L$79,0),0),"")</f>
        <v>吳家亨</v>
      </c>
      <c r="H62" s="1" t="str">
        <f ca="1">IFERROR(OFFSET(彙整表!H$1,MATCH($A62&amp;$B62,彙整表!$L$2:$L$79,0),0),"")</f>
        <v>林雨蓉</v>
      </c>
      <c r="I62" s="1" t="str">
        <f ca="1">IFERROR(OFFSET(彙整表!I$1,MATCH($A62&amp;$B62,彙整表!$L$2:$L$79,0),0),"")</f>
        <v>戴世修</v>
      </c>
      <c r="J62" s="1">
        <f ca="1">IFERROR(OFFSET(彙整表!J$1,MATCH($A62&amp;$B62,彙整表!$L$2:$L$79,0),0),"")</f>
        <v>0</v>
      </c>
      <c r="K62" s="1">
        <f ca="1">IFERROR(OFFSET(彙整表!K$1,MATCH($A62&amp;$B62,彙整表!$L$2:$L$79,0),0),"")</f>
        <v>0</v>
      </c>
    </row>
    <row r="63" spans="1:11" x14ac:dyDescent="0.2">
      <c r="A63" s="3" t="s">
        <v>73</v>
      </c>
      <c r="B63" s="3">
        <v>10</v>
      </c>
      <c r="C63" s="1" t="str">
        <f ca="1">IFERROR(OFFSET(彙整表!C$1,MATCH($A63&amp;$B63,彙整表!$L$2:$L$79,0),0),"")</f>
        <v>林琦恩</v>
      </c>
      <c r="D63" s="1" t="str">
        <f ca="1">IFERROR(OFFSET(彙整表!D$1,MATCH($A63&amp;$B63,彙整表!$L$2:$L$79,0),0),"")</f>
        <v>李汶芯</v>
      </c>
      <c r="E63" s="1" t="str">
        <f ca="1">IFERROR(OFFSET(彙整表!E$1,MATCH($A63&amp;$B63,彙整表!$L$2:$L$79,0),0),"")</f>
        <v>曾芊樺</v>
      </c>
      <c r="F63" s="1" t="str">
        <f ca="1">IFERROR(OFFSET(彙整表!F$1,MATCH($A63&amp;$B63,彙整表!$L$2:$L$79,0),0),"")</f>
        <v>方姵淇</v>
      </c>
      <c r="G63" s="1" t="str">
        <f ca="1">IFERROR(OFFSET(彙整表!G$1,MATCH($A63&amp;$B63,彙整表!$L$2:$L$79,0),0),"")</f>
        <v>蔡旻珊</v>
      </c>
      <c r="H63" s="1" t="str">
        <f ca="1">IFERROR(OFFSET(彙整表!H$1,MATCH($A63&amp;$B63,彙整表!$L$2:$L$79,0),0),"")</f>
        <v>呂恩昕</v>
      </c>
      <c r="I63" s="1">
        <f ca="1">IFERROR(OFFSET(彙整表!I$1,MATCH($A63&amp;$B63,彙整表!$L$2:$L$79,0),0),"")</f>
        <v>0</v>
      </c>
      <c r="J63" s="1">
        <f ca="1">IFERROR(OFFSET(彙整表!J$1,MATCH($A63&amp;$B63,彙整表!$L$2:$L$79,0),0),"")</f>
        <v>0</v>
      </c>
      <c r="K63" s="1">
        <f ca="1">IFERROR(OFFSET(彙整表!K$1,MATCH($A63&amp;$B63,彙整表!$L$2:$L$79,0),0),"")</f>
        <v>0</v>
      </c>
    </row>
    <row r="64" spans="1:11" x14ac:dyDescent="0.2">
      <c r="A64" s="3" t="s">
        <v>73</v>
      </c>
      <c r="B64" s="3">
        <v>11</v>
      </c>
      <c r="C64" s="1" t="str">
        <f ca="1">IFERROR(OFFSET(彙整表!C$1,MATCH($A64&amp;$B64,彙整表!$L$2:$L$79,0),0),"")</f>
        <v>周沛潔</v>
      </c>
      <c r="D64" s="1" t="str">
        <f ca="1">IFERROR(OFFSET(彙整表!D$1,MATCH($A64&amp;$B64,彙整表!$L$2:$L$79,0),0),"")</f>
        <v>歐妍君</v>
      </c>
      <c r="E64" s="1" t="str">
        <f ca="1">IFERROR(OFFSET(彙整表!E$1,MATCH($A64&amp;$B64,彙整表!$L$2:$L$79,0),0),"")</f>
        <v>江蓓萱</v>
      </c>
      <c r="F64" s="1" t="str">
        <f ca="1">IFERROR(OFFSET(彙整表!F$1,MATCH($A64&amp;$B64,彙整表!$L$2:$L$79,0),0),"")</f>
        <v>劉玲妤</v>
      </c>
      <c r="G64" s="1" t="str">
        <f ca="1">IFERROR(OFFSET(彙整表!G$1,MATCH($A64&amp;$B64,彙整表!$L$2:$L$79,0),0),"")</f>
        <v>林宣儀</v>
      </c>
      <c r="H64" s="1">
        <f ca="1">IFERROR(OFFSET(彙整表!H$1,MATCH($A64&amp;$B64,彙整表!$L$2:$L$79,0),0),"")</f>
        <v>0</v>
      </c>
      <c r="I64" s="1">
        <f ca="1">IFERROR(OFFSET(彙整表!I$1,MATCH($A64&amp;$B64,彙整表!$L$2:$L$79,0),0),"")</f>
        <v>0</v>
      </c>
      <c r="J64" s="1">
        <f ca="1">IFERROR(OFFSET(彙整表!J$1,MATCH($A64&amp;$B64,彙整表!$L$2:$L$79,0),0),"")</f>
        <v>0</v>
      </c>
      <c r="K64" s="1">
        <f ca="1">IFERROR(OFFSET(彙整表!K$1,MATCH($A64&amp;$B64,彙整表!$L$2:$L$79,0),0),"")</f>
        <v>0</v>
      </c>
    </row>
    <row r="65" spans="1:11" x14ac:dyDescent="0.2">
      <c r="A65" s="3" t="s">
        <v>73</v>
      </c>
      <c r="B65" s="3">
        <v>12</v>
      </c>
      <c r="C65" s="1" t="str">
        <f ca="1">IFERROR(OFFSET(彙整表!C$1,MATCH($A65&amp;$B65,彙整表!$L$2:$L$79,0),0),"")</f>
        <v/>
      </c>
      <c r="D65" s="1" t="str">
        <f ca="1">IFERROR(OFFSET(彙整表!D$1,MATCH($A65&amp;$B65,彙整表!$L$2:$L$79,0),0),"")</f>
        <v/>
      </c>
      <c r="E65" s="1" t="str">
        <f ca="1">IFERROR(OFFSET(彙整表!E$1,MATCH($A65&amp;$B65,彙整表!$L$2:$L$79,0),0),"")</f>
        <v/>
      </c>
      <c r="F65" s="1" t="str">
        <f ca="1">IFERROR(OFFSET(彙整表!F$1,MATCH($A65&amp;$B65,彙整表!$L$2:$L$79,0),0),"")</f>
        <v/>
      </c>
      <c r="G65" s="1" t="str">
        <f ca="1">IFERROR(OFFSET(彙整表!G$1,MATCH($A65&amp;$B65,彙整表!$L$2:$L$79,0),0),"")</f>
        <v/>
      </c>
      <c r="H65" s="1" t="str">
        <f ca="1">IFERROR(OFFSET(彙整表!H$1,MATCH($A65&amp;$B65,彙整表!$L$2:$L$79,0),0),"")</f>
        <v/>
      </c>
      <c r="I65" s="1" t="str">
        <f ca="1">IFERROR(OFFSET(彙整表!I$1,MATCH($A65&amp;$B65,彙整表!$L$2:$L$79,0),0),"")</f>
        <v/>
      </c>
      <c r="J65" s="1" t="str">
        <f ca="1">IFERROR(OFFSET(彙整表!J$1,MATCH($A65&amp;$B65,彙整表!$L$2:$L$79,0),0),"")</f>
        <v/>
      </c>
      <c r="K65" s="1" t="str">
        <f ca="1">IFERROR(OFFSET(彙整表!K$1,MATCH($A65&amp;$B65,彙整表!$L$2:$L$79,0),0),"")</f>
        <v/>
      </c>
    </row>
    <row r="66" spans="1:11" x14ac:dyDescent="0.2">
      <c r="A66" s="3" t="s">
        <v>73</v>
      </c>
      <c r="B66" s="3">
        <v>13</v>
      </c>
      <c r="C66" s="1" t="str">
        <f ca="1">IFERROR(OFFSET(彙整表!C$1,MATCH($A66&amp;$B66,彙整表!$L$2:$L$79,0),0),"")</f>
        <v/>
      </c>
      <c r="D66" s="1" t="str">
        <f ca="1">IFERROR(OFFSET(彙整表!D$1,MATCH($A66&amp;$B66,彙整表!$L$2:$L$79,0),0),"")</f>
        <v/>
      </c>
      <c r="E66" s="1" t="str">
        <f ca="1">IFERROR(OFFSET(彙整表!E$1,MATCH($A66&amp;$B66,彙整表!$L$2:$L$79,0),0),"")</f>
        <v/>
      </c>
      <c r="F66" s="1" t="str">
        <f ca="1">IFERROR(OFFSET(彙整表!F$1,MATCH($A66&amp;$B66,彙整表!$L$2:$L$79,0),0),"")</f>
        <v/>
      </c>
      <c r="G66" s="1" t="str">
        <f ca="1">IFERROR(OFFSET(彙整表!G$1,MATCH($A66&amp;$B66,彙整表!$L$2:$L$79,0),0),"")</f>
        <v/>
      </c>
      <c r="H66" s="1" t="str">
        <f ca="1">IFERROR(OFFSET(彙整表!H$1,MATCH($A66&amp;$B66,彙整表!$L$2:$L$79,0),0),"")</f>
        <v/>
      </c>
      <c r="I66" s="1" t="str">
        <f ca="1">IFERROR(OFFSET(彙整表!I$1,MATCH($A66&amp;$B66,彙整表!$L$2:$L$79,0),0),"")</f>
        <v/>
      </c>
      <c r="J66" s="1" t="str">
        <f ca="1">IFERROR(OFFSET(彙整表!J$1,MATCH($A66&amp;$B66,彙整表!$L$2:$L$79,0),0),"")</f>
        <v/>
      </c>
      <c r="K66" s="1" t="str">
        <f ca="1">IFERROR(OFFSET(彙整表!K$1,MATCH($A66&amp;$B66,彙整表!$L$2:$L$79,0),0),"")</f>
        <v/>
      </c>
    </row>
    <row r="67" spans="1:11" x14ac:dyDescent="0.2">
      <c r="A67" s="3" t="s">
        <v>8</v>
      </c>
      <c r="B67" s="3">
        <v>1</v>
      </c>
      <c r="C67" s="1" t="str">
        <f ca="1">IFERROR(OFFSET(彙整表!C$1,MATCH($A67&amp;$B67,彙整表!$L$2:$L$79,0),0),"")</f>
        <v>蘇昱誠</v>
      </c>
      <c r="D67" s="1" t="str">
        <f ca="1">IFERROR(OFFSET(彙整表!D$1,MATCH($A67&amp;$B67,彙整表!$L$2:$L$79,0),0),"")</f>
        <v>潘政安</v>
      </c>
      <c r="E67" s="1" t="str">
        <f ca="1">IFERROR(OFFSET(彙整表!E$1,MATCH($A67&amp;$B67,彙整表!$L$2:$L$79,0),0),"")</f>
        <v>方絜稜</v>
      </c>
      <c r="F67" s="1" t="str">
        <f ca="1">IFERROR(OFFSET(彙整表!F$1,MATCH($A67&amp;$B67,彙整表!$L$2:$L$79,0),0),"")</f>
        <v>林子榆</v>
      </c>
      <c r="G67" s="1" t="str">
        <f ca="1">IFERROR(OFFSET(彙整表!G$1,MATCH($A67&amp;$B67,彙整表!$L$2:$L$79,0),0),"")</f>
        <v>張庭芝</v>
      </c>
      <c r="H67" s="1">
        <f ca="1">IFERROR(OFFSET(彙整表!H$1,MATCH($A67&amp;$B67,彙整表!$L$2:$L$79,0),0),"")</f>
        <v>0</v>
      </c>
      <c r="I67" s="1">
        <f ca="1">IFERROR(OFFSET(彙整表!I$1,MATCH($A67&amp;$B67,彙整表!$L$2:$L$79,0),0),"")</f>
        <v>0</v>
      </c>
      <c r="J67" s="1">
        <f ca="1">IFERROR(OFFSET(彙整表!J$1,MATCH($A67&amp;$B67,彙整表!$L$2:$L$79,0),0),"")</f>
        <v>0</v>
      </c>
      <c r="K67" s="1">
        <f ca="1">IFERROR(OFFSET(彙整表!K$1,MATCH($A67&amp;$B67,彙整表!$L$2:$L$79,0),0),"")</f>
        <v>0</v>
      </c>
    </row>
    <row r="68" spans="1:11" x14ac:dyDescent="0.2">
      <c r="A68" s="3" t="s">
        <v>8</v>
      </c>
      <c r="B68" s="3">
        <v>2</v>
      </c>
      <c r="C68" s="1" t="str">
        <f ca="1">IFERROR(OFFSET(彙整表!C$1,MATCH($A68&amp;$B68,彙整表!$L$2:$L$79,0),0),"")</f>
        <v>周沛穎</v>
      </c>
      <c r="D68" s="1" t="str">
        <f ca="1">IFERROR(OFFSET(彙整表!D$1,MATCH($A68&amp;$B68,彙整表!$L$2:$L$79,0),0),"")</f>
        <v>鄧丞妤</v>
      </c>
      <c r="E68" s="1" t="str">
        <f ca="1">IFERROR(OFFSET(彙整表!E$1,MATCH($A68&amp;$B68,彙整表!$L$2:$L$79,0),0),"")</f>
        <v>李谷凌</v>
      </c>
      <c r="F68" s="1" t="str">
        <f ca="1">IFERROR(OFFSET(彙整表!F$1,MATCH($A68&amp;$B68,彙整表!$L$2:$L$79,0),0),"")</f>
        <v>楊禾羽</v>
      </c>
      <c r="G68" s="1" t="str">
        <f ca="1">IFERROR(OFFSET(彙整表!G$1,MATCH($A68&amp;$B68,彙整表!$L$2:$L$79,0),0),"")</f>
        <v xml:space="preserve">施安㚬 </v>
      </c>
      <c r="H68" s="1">
        <f ca="1">IFERROR(OFFSET(彙整表!H$1,MATCH($A68&amp;$B68,彙整表!$L$2:$L$79,0),0),"")</f>
        <v>0</v>
      </c>
      <c r="I68" s="1">
        <f ca="1">IFERROR(OFFSET(彙整表!I$1,MATCH($A68&amp;$B68,彙整表!$L$2:$L$79,0),0),"")</f>
        <v>0</v>
      </c>
      <c r="J68" s="1">
        <f ca="1">IFERROR(OFFSET(彙整表!J$1,MATCH($A68&amp;$B68,彙整表!$L$2:$L$79,0),0),"")</f>
        <v>0</v>
      </c>
      <c r="K68" s="1">
        <f ca="1">IFERROR(OFFSET(彙整表!K$1,MATCH($A68&amp;$B68,彙整表!$L$2:$L$79,0),0),"")</f>
        <v>0</v>
      </c>
    </row>
    <row r="69" spans="1:11" x14ac:dyDescent="0.2">
      <c r="A69" s="3" t="s">
        <v>8</v>
      </c>
      <c r="B69" s="3">
        <v>3</v>
      </c>
      <c r="C69" s="1" t="str">
        <f ca="1">IFERROR(OFFSET(彙整表!C$1,MATCH($A69&amp;$B69,彙整表!$L$2:$L$79,0),0),"")</f>
        <v>黃巧羽</v>
      </c>
      <c r="D69" s="1" t="str">
        <f ca="1">IFERROR(OFFSET(彙整表!D$1,MATCH($A69&amp;$B69,彙整表!$L$2:$L$79,0),0),"")</f>
        <v>李沁芸</v>
      </c>
      <c r="E69" s="1" t="str">
        <f ca="1">IFERROR(OFFSET(彙整表!E$1,MATCH($A69&amp;$B69,彙整表!$L$2:$L$79,0),0),"")</f>
        <v>褚家妍</v>
      </c>
      <c r="F69" s="1" t="str">
        <f ca="1">IFERROR(OFFSET(彙整表!F$1,MATCH($A69&amp;$B69,彙整表!$L$2:$L$79,0),0),"")</f>
        <v>陳宥璇</v>
      </c>
      <c r="G69" s="1" t="str">
        <f ca="1">IFERROR(OFFSET(彙整表!G$1,MATCH($A69&amp;$B69,彙整表!$L$2:$L$79,0),0),"")</f>
        <v>方翊宸</v>
      </c>
      <c r="H69" s="1" t="str">
        <f ca="1">IFERROR(OFFSET(彙整表!H$1,MATCH($A69&amp;$B69,彙整表!$L$2:$L$79,0),0),"")</f>
        <v>林季廷</v>
      </c>
      <c r="I69" s="1" t="str">
        <f ca="1">IFERROR(OFFSET(彙整表!I$1,MATCH($A69&amp;$B69,彙整表!$L$2:$L$79,0),0),"")</f>
        <v>吳芷歆</v>
      </c>
      <c r="J69" s="1">
        <f ca="1">IFERROR(OFFSET(彙整表!J$1,MATCH($A69&amp;$B69,彙整表!$L$2:$L$79,0),0),"")</f>
        <v>0</v>
      </c>
      <c r="K69" s="1">
        <f ca="1">IFERROR(OFFSET(彙整表!K$1,MATCH($A69&amp;$B69,彙整表!$L$2:$L$79,0),0),"")</f>
        <v>0</v>
      </c>
    </row>
    <row r="70" spans="1:11" x14ac:dyDescent="0.2">
      <c r="A70" s="3" t="s">
        <v>8</v>
      </c>
      <c r="B70" s="3">
        <v>4</v>
      </c>
      <c r="C70" s="1" t="str">
        <f ca="1">IFERROR(OFFSET(彙整表!C$1,MATCH($A70&amp;$B70,彙整表!$L$2:$L$79,0),0),"")</f>
        <v>鄧子誼</v>
      </c>
      <c r="D70" s="1" t="str">
        <f ca="1">IFERROR(OFFSET(彙整表!D$1,MATCH($A70&amp;$B70,彙整表!$L$2:$L$79,0),0),"")</f>
        <v>張婕寧</v>
      </c>
      <c r="E70" s="1" t="str">
        <f ca="1">IFERROR(OFFSET(彙整表!E$1,MATCH($A70&amp;$B70,彙整表!$L$2:$L$79,0),0),"")</f>
        <v>康芸菀</v>
      </c>
      <c r="F70" s="1" t="str">
        <f ca="1">IFERROR(OFFSET(彙整表!F$1,MATCH($A70&amp;$B70,彙整表!$L$2:$L$79,0),0),"")</f>
        <v>閻祐葳</v>
      </c>
      <c r="G70" s="1" t="str">
        <f ca="1">IFERROR(OFFSET(彙整表!G$1,MATCH($A70&amp;$B70,彙整表!$L$2:$L$79,0),0),"")</f>
        <v>張晴</v>
      </c>
      <c r="H70" s="1">
        <f ca="1">IFERROR(OFFSET(彙整表!H$1,MATCH($A70&amp;$B70,彙整表!$L$2:$L$79,0),0),"")</f>
        <v>0</v>
      </c>
      <c r="I70" s="1">
        <f ca="1">IFERROR(OFFSET(彙整表!I$1,MATCH($A70&amp;$B70,彙整表!$L$2:$L$79,0),0),"")</f>
        <v>0</v>
      </c>
      <c r="J70" s="1">
        <f ca="1">IFERROR(OFFSET(彙整表!J$1,MATCH($A70&amp;$B70,彙整表!$L$2:$L$79,0),0),"")</f>
        <v>0</v>
      </c>
      <c r="K70" s="1">
        <f ca="1">IFERROR(OFFSET(彙整表!K$1,MATCH($A70&amp;$B70,彙整表!$L$2:$L$79,0),0),"")</f>
        <v>0</v>
      </c>
    </row>
    <row r="71" spans="1:11" x14ac:dyDescent="0.2">
      <c r="A71" s="3" t="s">
        <v>8</v>
      </c>
      <c r="B71" s="3">
        <v>5</v>
      </c>
      <c r="C71" s="1" t="str">
        <f ca="1">IFERROR(OFFSET(彙整表!C$1,MATCH($A71&amp;$B71,彙整表!$L$2:$L$79,0),0),"")</f>
        <v>蔡傳德</v>
      </c>
      <c r="D71" s="1" t="str">
        <f ca="1">IFERROR(OFFSET(彙整表!D$1,MATCH($A71&amp;$B71,彙整表!$L$2:$L$79,0),0),"")</f>
        <v>黃筱晴</v>
      </c>
      <c r="E71" s="1" t="str">
        <f ca="1">IFERROR(OFFSET(彙整表!E$1,MATCH($A71&amp;$B71,彙整表!$L$2:$L$79,0),0),"")</f>
        <v>張淽涵</v>
      </c>
      <c r="F71" s="1" t="str">
        <f ca="1">IFERROR(OFFSET(彙整表!F$1,MATCH($A71&amp;$B71,彙整表!$L$2:$L$79,0),0),"")</f>
        <v>黃芊錚</v>
      </c>
      <c r="G71" s="1" t="str">
        <f ca="1">IFERROR(OFFSET(彙整表!G$1,MATCH($A71&amp;$B71,彙整表!$L$2:$L$79,0),0),"")</f>
        <v>宋心予</v>
      </c>
      <c r="H71" s="1">
        <f ca="1">IFERROR(OFFSET(彙整表!H$1,MATCH($A71&amp;$B71,彙整表!$L$2:$L$79,0),0),"")</f>
        <v>0</v>
      </c>
      <c r="I71" s="1">
        <f ca="1">IFERROR(OFFSET(彙整表!I$1,MATCH($A71&amp;$B71,彙整表!$L$2:$L$79,0),0),"")</f>
        <v>0</v>
      </c>
      <c r="J71" s="1">
        <f ca="1">IFERROR(OFFSET(彙整表!J$1,MATCH($A71&amp;$B71,彙整表!$L$2:$L$79,0),0),"")</f>
        <v>0</v>
      </c>
      <c r="K71" s="1">
        <f ca="1">IFERROR(OFFSET(彙整表!K$1,MATCH($A71&amp;$B71,彙整表!$L$2:$L$79,0),0),"")</f>
        <v>0</v>
      </c>
    </row>
    <row r="72" spans="1:11" x14ac:dyDescent="0.2">
      <c r="A72" s="3" t="s">
        <v>8</v>
      </c>
      <c r="B72" s="3">
        <v>6</v>
      </c>
      <c r="C72" s="1" t="str">
        <f ca="1">IFERROR(OFFSET(彙整表!C$1,MATCH($A72&amp;$B72,彙整表!$L$2:$L$79,0),0),"")</f>
        <v>簡翊庭</v>
      </c>
      <c r="D72" s="1" t="str">
        <f ca="1">IFERROR(OFFSET(彙整表!D$1,MATCH($A72&amp;$B72,彙整表!$L$2:$L$79,0),0),"")</f>
        <v>官庭佑</v>
      </c>
      <c r="E72" s="1" t="str">
        <f ca="1">IFERROR(OFFSET(彙整表!E$1,MATCH($A72&amp;$B72,彙整表!$L$2:$L$79,0),0),"")</f>
        <v>蔡雁婷</v>
      </c>
      <c r="F72" s="1" t="str">
        <f ca="1">IFERROR(OFFSET(彙整表!F$1,MATCH($A72&amp;$B72,彙整表!$L$2:$L$79,0),0),"")</f>
        <v>曹至廷</v>
      </c>
      <c r="G72" s="1" t="str">
        <f ca="1">IFERROR(OFFSET(彙整表!G$1,MATCH($A72&amp;$B72,彙整表!$L$2:$L$79,0),0),"")</f>
        <v>徐振泓</v>
      </c>
      <c r="H72" s="1">
        <f ca="1">IFERROR(OFFSET(彙整表!H$1,MATCH($A72&amp;$B72,彙整表!$L$2:$L$79,0),0),"")</f>
        <v>0</v>
      </c>
      <c r="I72" s="1">
        <f ca="1">IFERROR(OFFSET(彙整表!I$1,MATCH($A72&amp;$B72,彙整表!$L$2:$L$79,0),0),"")</f>
        <v>0</v>
      </c>
      <c r="J72" s="1">
        <f ca="1">IFERROR(OFFSET(彙整表!J$1,MATCH($A72&amp;$B72,彙整表!$L$2:$L$79,0),0),"")</f>
        <v>0</v>
      </c>
      <c r="K72" s="1">
        <f ca="1">IFERROR(OFFSET(彙整表!K$1,MATCH($A72&amp;$B72,彙整表!$L$2:$L$79,0),0),"")</f>
        <v>0</v>
      </c>
    </row>
    <row r="73" spans="1:11" x14ac:dyDescent="0.2">
      <c r="A73" s="3" t="s">
        <v>8</v>
      </c>
      <c r="B73" s="3">
        <v>7</v>
      </c>
      <c r="C73" s="1" t="str">
        <f ca="1">IFERROR(OFFSET(彙整表!C$1,MATCH($A73&amp;$B73,彙整表!$L$2:$L$79,0),0),"")</f>
        <v>蔡宇銨</v>
      </c>
      <c r="D73" s="1" t="str">
        <f ca="1">IFERROR(OFFSET(彙整表!D$1,MATCH($A73&amp;$B73,彙整表!$L$2:$L$79,0),0),"")</f>
        <v>徐瑋承</v>
      </c>
      <c r="E73" s="1" t="str">
        <f ca="1">IFERROR(OFFSET(彙整表!E$1,MATCH($A73&amp;$B73,彙整表!$L$2:$L$79,0),0),"")</f>
        <v>魏沅𦵴</v>
      </c>
      <c r="F73" s="1" t="str">
        <f ca="1">IFERROR(OFFSET(彙整表!F$1,MATCH($A73&amp;$B73,彙整表!$L$2:$L$79,0),0),"")</f>
        <v>陳芊妘</v>
      </c>
      <c r="G73" s="1" t="str">
        <f ca="1">IFERROR(OFFSET(彙整表!G$1,MATCH($A73&amp;$B73,彙整表!$L$2:$L$79,0),0),"")</f>
        <v>林靖恩</v>
      </c>
      <c r="H73" s="1">
        <f ca="1">IFERROR(OFFSET(彙整表!H$1,MATCH($A73&amp;$B73,彙整表!$L$2:$L$79,0),0),"")</f>
        <v>0</v>
      </c>
      <c r="I73" s="1">
        <f ca="1">IFERROR(OFFSET(彙整表!I$1,MATCH($A73&amp;$B73,彙整表!$L$2:$L$79,0),0),"")</f>
        <v>0</v>
      </c>
      <c r="J73" s="1">
        <f ca="1">IFERROR(OFFSET(彙整表!J$1,MATCH($A73&amp;$B73,彙整表!$L$2:$L$79,0),0),"")</f>
        <v>0</v>
      </c>
      <c r="K73" s="1">
        <f ca="1">IFERROR(OFFSET(彙整表!K$1,MATCH($A73&amp;$B73,彙整表!$L$2:$L$79,0),0),"")</f>
        <v>0</v>
      </c>
    </row>
    <row r="74" spans="1:11" x14ac:dyDescent="0.2">
      <c r="A74" s="3" t="s">
        <v>8</v>
      </c>
      <c r="B74" s="3">
        <v>8</v>
      </c>
      <c r="C74" s="1" t="str">
        <f ca="1">IFERROR(OFFSET(彙整表!C$1,MATCH($A74&amp;$B74,彙整表!$L$2:$L$79,0),0),"")</f>
        <v>張妡語</v>
      </c>
      <c r="D74" s="1" t="str">
        <f ca="1">IFERROR(OFFSET(彙整表!D$1,MATCH($A74&amp;$B74,彙整表!$L$2:$L$79,0),0),"")</f>
        <v>陳昀貞</v>
      </c>
      <c r="E74" s="1" t="str">
        <f ca="1">IFERROR(OFFSET(彙整表!E$1,MATCH($A74&amp;$B74,彙整表!$L$2:$L$79,0),0),"")</f>
        <v>林芝妍</v>
      </c>
      <c r="F74" s="1" t="str">
        <f ca="1">IFERROR(OFFSET(彙整表!F$1,MATCH($A74&amp;$B74,彙整表!$L$2:$L$79,0),0),"")</f>
        <v>李羚羚</v>
      </c>
      <c r="G74" s="1" t="str">
        <f ca="1">IFERROR(OFFSET(彙整表!G$1,MATCH($A74&amp;$B74,彙整表!$L$2:$L$79,0),0),"")</f>
        <v>童鈺恩</v>
      </c>
      <c r="H74" s="1">
        <f ca="1">IFERROR(OFFSET(彙整表!H$1,MATCH($A74&amp;$B74,彙整表!$L$2:$L$79,0),0),"")</f>
        <v>0</v>
      </c>
      <c r="I74" s="1">
        <f ca="1">IFERROR(OFFSET(彙整表!I$1,MATCH($A74&amp;$B74,彙整表!$L$2:$L$79,0),0),"")</f>
        <v>0</v>
      </c>
      <c r="J74" s="1">
        <f ca="1">IFERROR(OFFSET(彙整表!J$1,MATCH($A74&amp;$B74,彙整表!$L$2:$L$79,0),0),"")</f>
        <v>0</v>
      </c>
      <c r="K74" s="1">
        <f ca="1">IFERROR(OFFSET(彙整表!K$1,MATCH($A74&amp;$B74,彙整表!$L$2:$L$79,0),0),"")</f>
        <v>0</v>
      </c>
    </row>
    <row r="75" spans="1:11" x14ac:dyDescent="0.2">
      <c r="A75" s="3" t="s">
        <v>8</v>
      </c>
      <c r="B75" s="3">
        <v>9</v>
      </c>
      <c r="C75" s="1" t="str">
        <f ca="1">IFERROR(OFFSET(彙整表!C$1,MATCH($A75&amp;$B75,彙整表!$L$2:$L$79,0),0),"")</f>
        <v>江芊霈</v>
      </c>
      <c r="D75" s="1" t="str">
        <f ca="1">IFERROR(OFFSET(彙整表!D$1,MATCH($A75&amp;$B75,彙整表!$L$2:$L$79,0),0),"")</f>
        <v>周子祐</v>
      </c>
      <c r="E75" s="1" t="str">
        <f ca="1">IFERROR(OFFSET(彙整表!E$1,MATCH($A75&amp;$B75,彙整表!$L$2:$L$79,0),0),"")</f>
        <v>簡士傑</v>
      </c>
      <c r="F75" s="1" t="str">
        <f ca="1">IFERROR(OFFSET(彙整表!F$1,MATCH($A75&amp;$B75,彙整表!$L$2:$L$79,0),0),"")</f>
        <v>廖毅宸</v>
      </c>
      <c r="G75" s="1" t="str">
        <f ca="1">IFERROR(OFFSET(彙整表!G$1,MATCH($A75&amp;$B75,彙整表!$L$2:$L$79,0),0),"")</f>
        <v>黃家泫</v>
      </c>
      <c r="H75" s="1">
        <f ca="1">IFERROR(OFFSET(彙整表!H$1,MATCH($A75&amp;$B75,彙整表!$L$2:$L$79,0),0),"")</f>
        <v>0</v>
      </c>
      <c r="I75" s="1">
        <f ca="1">IFERROR(OFFSET(彙整表!I$1,MATCH($A75&amp;$B75,彙整表!$L$2:$L$79,0),0),"")</f>
        <v>0</v>
      </c>
      <c r="J75" s="1">
        <f ca="1">IFERROR(OFFSET(彙整表!J$1,MATCH($A75&amp;$B75,彙整表!$L$2:$L$79,0),0),"")</f>
        <v>0</v>
      </c>
      <c r="K75" s="1">
        <f ca="1">IFERROR(OFFSET(彙整表!K$1,MATCH($A75&amp;$B75,彙整表!$L$2:$L$79,0),0),"")</f>
        <v>0</v>
      </c>
    </row>
    <row r="76" spans="1:11" x14ac:dyDescent="0.2">
      <c r="A76" s="3" t="s">
        <v>8</v>
      </c>
      <c r="B76" s="3">
        <v>10</v>
      </c>
      <c r="C76" s="1" t="str">
        <f ca="1">IFERROR(OFFSET(彙整表!C$1,MATCH($A76&amp;$B76,彙整表!$L$2:$L$79,0),0),"")</f>
        <v>蔡泳淇</v>
      </c>
      <c r="D76" s="1" t="str">
        <f ca="1">IFERROR(OFFSET(彙整表!D$1,MATCH($A76&amp;$B76,彙整表!$L$2:$L$79,0),0),"")</f>
        <v>賴宬媞</v>
      </c>
      <c r="E76" s="1" t="str">
        <f ca="1">IFERROR(OFFSET(彙整表!E$1,MATCH($A76&amp;$B76,彙整表!$L$2:$L$79,0),0),"")</f>
        <v>何忻蓉</v>
      </c>
      <c r="F76" s="1" t="str">
        <f ca="1">IFERROR(OFFSET(彙整表!F$1,MATCH($A76&amp;$B76,彙整表!$L$2:$L$79,0),0),"")</f>
        <v>林佩吟</v>
      </c>
      <c r="G76" s="1" t="str">
        <f ca="1">IFERROR(OFFSET(彙整表!G$1,MATCH($A76&amp;$B76,彙整表!$L$2:$L$79,0),0),"")</f>
        <v>侯定佑</v>
      </c>
      <c r="H76" s="1">
        <f ca="1">IFERROR(OFFSET(彙整表!H$1,MATCH($A76&amp;$B76,彙整表!$L$2:$L$79,0),0),"")</f>
        <v>0</v>
      </c>
      <c r="I76" s="1">
        <f ca="1">IFERROR(OFFSET(彙整表!I$1,MATCH($A76&amp;$B76,彙整表!$L$2:$L$79,0),0),"")</f>
        <v>0</v>
      </c>
      <c r="J76" s="1">
        <f ca="1">IFERROR(OFFSET(彙整表!J$1,MATCH($A76&amp;$B76,彙整表!$L$2:$L$79,0),0),"")</f>
        <v>0</v>
      </c>
      <c r="K76" s="1">
        <f ca="1">IFERROR(OFFSET(彙整表!K$1,MATCH($A76&amp;$B76,彙整表!$L$2:$L$79,0),0),"")</f>
        <v>0</v>
      </c>
    </row>
    <row r="77" spans="1:11" x14ac:dyDescent="0.2">
      <c r="A77" s="3" t="s">
        <v>8</v>
      </c>
      <c r="B77" s="3">
        <v>11</v>
      </c>
      <c r="C77" s="1" t="str">
        <f ca="1">IFERROR(OFFSET(彙整表!C$1,MATCH($A77&amp;$B77,彙整表!$L$2:$L$79,0),0),"")</f>
        <v>周俊安</v>
      </c>
      <c r="D77" s="1" t="str">
        <f ca="1">IFERROR(OFFSET(彙整表!D$1,MATCH($A77&amp;$B77,彙整表!$L$2:$L$79,0),0),"")</f>
        <v>蕭鎮源</v>
      </c>
      <c r="E77" s="1" t="str">
        <f ca="1">IFERROR(OFFSET(彙整表!E$1,MATCH($A77&amp;$B77,彙整表!$L$2:$L$79,0),0),"")</f>
        <v>陳祉妤</v>
      </c>
      <c r="F77" s="1" t="str">
        <f ca="1">IFERROR(OFFSET(彙整表!F$1,MATCH($A77&amp;$B77,彙整表!$L$2:$L$79,0),0),"")</f>
        <v>鄭宏邦</v>
      </c>
      <c r="G77" s="1" t="str">
        <f ca="1">IFERROR(OFFSET(彙整表!G$1,MATCH($A77&amp;$B77,彙整表!$L$2:$L$79,0),0),"")</f>
        <v>蔡尚廷</v>
      </c>
      <c r="H77" s="1">
        <f ca="1">IFERROR(OFFSET(彙整表!H$1,MATCH($A77&amp;$B77,彙整表!$L$2:$L$79,0),0),"")</f>
        <v>0</v>
      </c>
      <c r="I77" s="1">
        <f ca="1">IFERROR(OFFSET(彙整表!I$1,MATCH($A77&amp;$B77,彙整表!$L$2:$L$79,0),0),"")</f>
        <v>0</v>
      </c>
      <c r="J77" s="1">
        <f ca="1">IFERROR(OFFSET(彙整表!J$1,MATCH($A77&amp;$B77,彙整表!$L$2:$L$79,0),0),"")</f>
        <v>0</v>
      </c>
      <c r="K77" s="1">
        <f ca="1">IFERROR(OFFSET(彙整表!K$1,MATCH($A77&amp;$B77,彙整表!$L$2:$L$79,0),0),"")</f>
        <v>0</v>
      </c>
    </row>
    <row r="78" spans="1:11" x14ac:dyDescent="0.2">
      <c r="A78" s="3" t="s">
        <v>8</v>
      </c>
      <c r="B78" s="3">
        <v>12</v>
      </c>
      <c r="C78" s="1" t="str">
        <f ca="1">IFERROR(OFFSET(彙整表!C$1,MATCH($A78&amp;$B78,彙整表!$L$2:$L$79,0),0),"")</f>
        <v>李晉弘</v>
      </c>
      <c r="D78" s="1" t="str">
        <f ca="1">IFERROR(OFFSET(彙整表!D$1,MATCH($A78&amp;$B78,彙整表!$L$2:$L$79,0),0),"")</f>
        <v>楊兆恩</v>
      </c>
      <c r="E78" s="1" t="str">
        <f ca="1">IFERROR(OFFSET(彙整表!E$1,MATCH($A78&amp;$B78,彙整表!$L$2:$L$79,0),0),"")</f>
        <v>洪雅欣</v>
      </c>
      <c r="F78" s="1" t="str">
        <f ca="1">IFERROR(OFFSET(彙整表!F$1,MATCH($A78&amp;$B78,彙整表!$L$2:$L$79,0),0),"")</f>
        <v>林芷彤</v>
      </c>
      <c r="G78" s="1" t="str">
        <f ca="1">IFERROR(OFFSET(彙整表!G$1,MATCH($A78&amp;$B78,彙整表!$L$2:$L$79,0),0),"")</f>
        <v>劉品妤</v>
      </c>
      <c r="H78" s="1">
        <f ca="1">IFERROR(OFFSET(彙整表!H$1,MATCH($A78&amp;$B78,彙整表!$L$2:$L$79,0),0),"")</f>
        <v>0</v>
      </c>
      <c r="I78" s="1">
        <f ca="1">IFERROR(OFFSET(彙整表!I$1,MATCH($A78&amp;$B78,彙整表!$L$2:$L$79,0),0),"")</f>
        <v>0</v>
      </c>
      <c r="J78" s="1">
        <f ca="1">IFERROR(OFFSET(彙整表!J$1,MATCH($A78&amp;$B78,彙整表!$L$2:$L$79,0),0),"")</f>
        <v>0</v>
      </c>
      <c r="K78" s="1">
        <f ca="1">IFERROR(OFFSET(彙整表!K$1,MATCH($A78&amp;$B78,彙整表!$L$2:$L$79,0),0),"")</f>
        <v>0</v>
      </c>
    </row>
    <row r="79" spans="1:11" x14ac:dyDescent="0.2">
      <c r="A79" s="3" t="s">
        <v>8</v>
      </c>
      <c r="B79" s="3">
        <v>13</v>
      </c>
      <c r="C79" s="1" t="str">
        <f ca="1">IFERROR(OFFSET(彙整表!C$1,MATCH($A79&amp;$B79,彙整表!$L$2:$L$79,0),0),"")</f>
        <v/>
      </c>
      <c r="D79" s="1" t="str">
        <f ca="1">IFERROR(OFFSET(彙整表!D$1,MATCH($A79&amp;$B79,彙整表!$L$2:$L$79,0),0),"")</f>
        <v/>
      </c>
      <c r="E79" s="1" t="str">
        <f ca="1">IFERROR(OFFSET(彙整表!E$1,MATCH($A79&amp;$B79,彙整表!$L$2:$L$79,0),0),"")</f>
        <v/>
      </c>
      <c r="F79" s="1" t="str">
        <f ca="1">IFERROR(OFFSET(彙整表!F$1,MATCH($A79&amp;$B79,彙整表!$L$2:$L$79,0),0),"")</f>
        <v/>
      </c>
      <c r="G79" s="1" t="str">
        <f ca="1">IFERROR(OFFSET(彙整表!G$1,MATCH($A79&amp;$B79,彙整表!$L$2:$L$79,0),0),"")</f>
        <v/>
      </c>
      <c r="H79" s="1" t="str">
        <f ca="1">IFERROR(OFFSET(彙整表!H$1,MATCH($A79&amp;$B79,彙整表!$L$2:$L$79,0),0),"")</f>
        <v/>
      </c>
      <c r="I79" s="1" t="str">
        <f ca="1">IFERROR(OFFSET(彙整表!I$1,MATCH($A79&amp;$B79,彙整表!$L$2:$L$79,0),0),"")</f>
        <v/>
      </c>
      <c r="J79" s="1" t="str">
        <f ca="1">IFERROR(OFFSET(彙整表!J$1,MATCH($A79&amp;$B79,彙整表!$L$2:$L$79,0),0),"")</f>
        <v/>
      </c>
      <c r="K79" s="1" t="str">
        <f ca="1">IFERROR(OFFSET(彙整表!K$1,MATCH($A79&amp;$B79,彙整表!$L$2:$L$79,0),0),"")</f>
        <v/>
      </c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249"/>
  <sheetViews>
    <sheetView topLeftCell="A229" workbookViewId="0">
      <selection activeCell="B239" sqref="B239:C249"/>
    </sheetView>
  </sheetViews>
  <sheetFormatPr defaultColWidth="14.42578125" defaultRowHeight="15.75" customHeight="1" x14ac:dyDescent="0.2"/>
  <sheetData>
    <row r="1" spans="1:3" ht="12.75" x14ac:dyDescent="0.2">
      <c r="A1" s="3" t="s">
        <v>1</v>
      </c>
      <c r="B1" s="3" t="s">
        <v>2</v>
      </c>
      <c r="C1" s="3" t="s">
        <v>267</v>
      </c>
    </row>
    <row r="2" spans="1:3" ht="12.75" x14ac:dyDescent="0.2">
      <c r="A2" s="5" t="s">
        <v>19</v>
      </c>
      <c r="B2" s="6">
        <v>1</v>
      </c>
      <c r="C2" s="5" t="s">
        <v>46</v>
      </c>
    </row>
    <row r="3" spans="1:3" ht="12.75" x14ac:dyDescent="0.2">
      <c r="A3" s="5" t="s">
        <v>19</v>
      </c>
      <c r="B3" s="6">
        <v>1</v>
      </c>
      <c r="C3" s="5" t="s">
        <v>47</v>
      </c>
    </row>
    <row r="4" spans="1:3" ht="12.75" x14ac:dyDescent="0.2">
      <c r="A4" s="5" t="s">
        <v>19</v>
      </c>
      <c r="B4" s="6">
        <v>1</v>
      </c>
      <c r="C4" s="5" t="s">
        <v>48</v>
      </c>
    </row>
    <row r="5" spans="1:3" ht="12.75" x14ac:dyDescent="0.2">
      <c r="A5" s="5" t="s">
        <v>19</v>
      </c>
      <c r="B5" s="6">
        <v>1</v>
      </c>
      <c r="C5" s="5" t="s">
        <v>49</v>
      </c>
    </row>
    <row r="6" spans="1:3" ht="12.75" x14ac:dyDescent="0.2">
      <c r="A6" s="5" t="s">
        <v>19</v>
      </c>
      <c r="B6" s="6">
        <v>1</v>
      </c>
      <c r="C6" s="5" t="s">
        <v>50</v>
      </c>
    </row>
    <row r="7" spans="1:3" ht="12.75" x14ac:dyDescent="0.2">
      <c r="A7" s="5" t="s">
        <v>19</v>
      </c>
      <c r="B7" s="6">
        <v>2</v>
      </c>
      <c r="C7" s="5" t="s">
        <v>192</v>
      </c>
    </row>
    <row r="8" spans="1:3" ht="12.75" x14ac:dyDescent="0.2">
      <c r="A8" s="5" t="s">
        <v>19</v>
      </c>
      <c r="B8" s="6">
        <v>2</v>
      </c>
      <c r="C8" s="5" t="s">
        <v>193</v>
      </c>
    </row>
    <row r="9" spans="1:3" ht="12.75" x14ac:dyDescent="0.2">
      <c r="A9" s="5" t="s">
        <v>19</v>
      </c>
      <c r="B9" s="6">
        <v>2</v>
      </c>
      <c r="C9" s="5" t="s">
        <v>194</v>
      </c>
    </row>
    <row r="10" spans="1:3" ht="12.75" x14ac:dyDescent="0.2">
      <c r="A10" s="5" t="s">
        <v>19</v>
      </c>
      <c r="B10" s="6">
        <v>2</v>
      </c>
      <c r="C10" s="5" t="s">
        <v>195</v>
      </c>
    </row>
    <row r="11" spans="1:3" ht="12.75" x14ac:dyDescent="0.2">
      <c r="A11" s="5" t="s">
        <v>19</v>
      </c>
      <c r="B11" s="6">
        <v>2</v>
      </c>
      <c r="C11" s="5" t="s">
        <v>196</v>
      </c>
    </row>
    <row r="12" spans="1:3" ht="12.75" x14ac:dyDescent="0.2">
      <c r="A12" s="5" t="s">
        <v>19</v>
      </c>
      <c r="B12" s="6">
        <v>3</v>
      </c>
      <c r="C12" s="5" t="s">
        <v>230</v>
      </c>
    </row>
    <row r="13" spans="1:3" ht="12.75" x14ac:dyDescent="0.2">
      <c r="A13" s="5" t="s">
        <v>19</v>
      </c>
      <c r="B13" s="6">
        <v>3</v>
      </c>
      <c r="C13" s="5" t="s">
        <v>231</v>
      </c>
    </row>
    <row r="14" spans="1:3" ht="12.75" x14ac:dyDescent="0.2">
      <c r="A14" s="5" t="s">
        <v>19</v>
      </c>
      <c r="B14" s="6">
        <v>3</v>
      </c>
      <c r="C14" s="5" t="s">
        <v>232</v>
      </c>
    </row>
    <row r="15" spans="1:3" ht="12.75" x14ac:dyDescent="0.2">
      <c r="A15" s="5" t="s">
        <v>19</v>
      </c>
      <c r="B15" s="6">
        <v>3</v>
      </c>
      <c r="C15" s="5" t="s">
        <v>233</v>
      </c>
    </row>
    <row r="16" spans="1:3" ht="12.75" x14ac:dyDescent="0.2">
      <c r="A16" s="5" t="s">
        <v>19</v>
      </c>
      <c r="B16" s="6">
        <v>3</v>
      </c>
      <c r="C16" s="5" t="s">
        <v>234</v>
      </c>
    </row>
    <row r="17" spans="1:3" ht="12.75" x14ac:dyDescent="0.2">
      <c r="A17" s="5" t="s">
        <v>19</v>
      </c>
      <c r="B17" s="6">
        <v>4</v>
      </c>
      <c r="C17" s="5" t="s">
        <v>51</v>
      </c>
    </row>
    <row r="18" spans="1:3" ht="12.75" x14ac:dyDescent="0.2">
      <c r="A18" s="5" t="s">
        <v>19</v>
      </c>
      <c r="B18" s="6">
        <v>4</v>
      </c>
      <c r="C18" s="5" t="s">
        <v>52</v>
      </c>
    </row>
    <row r="19" spans="1:3" ht="12.75" x14ac:dyDescent="0.2">
      <c r="A19" s="5" t="s">
        <v>19</v>
      </c>
      <c r="B19" s="6">
        <v>4</v>
      </c>
      <c r="C19" s="5" t="s">
        <v>53</v>
      </c>
    </row>
    <row r="20" spans="1:3" ht="12.75" x14ac:dyDescent="0.2">
      <c r="A20" s="5" t="s">
        <v>19</v>
      </c>
      <c r="B20" s="6">
        <v>4</v>
      </c>
      <c r="C20" s="5" t="s">
        <v>54</v>
      </c>
    </row>
    <row r="21" spans="1:3" ht="12.75" x14ac:dyDescent="0.2">
      <c r="A21" s="5" t="s">
        <v>19</v>
      </c>
      <c r="B21" s="6">
        <v>4</v>
      </c>
      <c r="C21" s="5" t="s">
        <v>55</v>
      </c>
    </row>
    <row r="22" spans="1:3" ht="12.75" x14ac:dyDescent="0.2">
      <c r="A22" s="5" t="s">
        <v>19</v>
      </c>
      <c r="B22" s="6">
        <v>5</v>
      </c>
      <c r="C22" s="5" t="s">
        <v>123</v>
      </c>
    </row>
    <row r="23" spans="1:3" ht="12.75" x14ac:dyDescent="0.2">
      <c r="A23" s="5" t="s">
        <v>19</v>
      </c>
      <c r="B23" s="6">
        <v>5</v>
      </c>
      <c r="C23" s="5" t="s">
        <v>124</v>
      </c>
    </row>
    <row r="24" spans="1:3" ht="12.75" x14ac:dyDescent="0.2">
      <c r="A24" s="5" t="s">
        <v>19</v>
      </c>
      <c r="B24" s="6">
        <v>5</v>
      </c>
      <c r="C24" s="5" t="s">
        <v>125</v>
      </c>
    </row>
    <row r="25" spans="1:3" ht="12.75" x14ac:dyDescent="0.2">
      <c r="A25" s="5" t="s">
        <v>19</v>
      </c>
      <c r="B25" s="6">
        <v>5</v>
      </c>
      <c r="C25" s="5" t="s">
        <v>126</v>
      </c>
    </row>
    <row r="26" spans="1:3" ht="12.75" x14ac:dyDescent="0.2">
      <c r="A26" s="5" t="s">
        <v>19</v>
      </c>
      <c r="B26" s="6">
        <v>5</v>
      </c>
      <c r="C26" s="5" t="s">
        <v>127</v>
      </c>
    </row>
    <row r="27" spans="1:3" ht="12.75" x14ac:dyDescent="0.2">
      <c r="A27" s="5" t="s">
        <v>19</v>
      </c>
      <c r="B27" s="6">
        <v>6</v>
      </c>
      <c r="C27" s="5" t="s">
        <v>41</v>
      </c>
    </row>
    <row r="28" spans="1:3" ht="12.75" x14ac:dyDescent="0.2">
      <c r="A28" s="5" t="s">
        <v>19</v>
      </c>
      <c r="B28" s="6">
        <v>6</v>
      </c>
      <c r="C28" s="5" t="s">
        <v>42</v>
      </c>
    </row>
    <row r="29" spans="1:3" ht="12.75" x14ac:dyDescent="0.2">
      <c r="A29" s="5" t="s">
        <v>19</v>
      </c>
      <c r="B29" s="6">
        <v>6</v>
      </c>
      <c r="C29" s="5" t="s">
        <v>43</v>
      </c>
    </row>
    <row r="30" spans="1:3" ht="12.75" x14ac:dyDescent="0.2">
      <c r="A30" s="5" t="s">
        <v>19</v>
      </c>
      <c r="B30" s="6">
        <v>6</v>
      </c>
      <c r="C30" s="5" t="s">
        <v>44</v>
      </c>
    </row>
    <row r="31" spans="1:3" ht="12.75" x14ac:dyDescent="0.2">
      <c r="A31" s="5" t="s">
        <v>19</v>
      </c>
      <c r="B31" s="6">
        <v>6</v>
      </c>
      <c r="C31" s="5" t="s">
        <v>45</v>
      </c>
    </row>
    <row r="32" spans="1:3" ht="12.75" x14ac:dyDescent="0.2">
      <c r="A32" s="5" t="s">
        <v>19</v>
      </c>
      <c r="B32" s="6">
        <v>7</v>
      </c>
      <c r="C32" s="5" t="s">
        <v>150</v>
      </c>
    </row>
    <row r="33" spans="1:3" ht="12.75" x14ac:dyDescent="0.2">
      <c r="A33" s="5" t="s">
        <v>19</v>
      </c>
      <c r="B33" s="6">
        <v>7</v>
      </c>
      <c r="C33" s="5" t="s">
        <v>151</v>
      </c>
    </row>
    <row r="34" spans="1:3" ht="12.75" x14ac:dyDescent="0.2">
      <c r="A34" s="5" t="s">
        <v>19</v>
      </c>
      <c r="B34" s="6">
        <v>7</v>
      </c>
      <c r="C34" s="5" t="s">
        <v>152</v>
      </c>
    </row>
    <row r="35" spans="1:3" ht="12.75" x14ac:dyDescent="0.2">
      <c r="A35" s="5" t="s">
        <v>19</v>
      </c>
      <c r="B35" s="6">
        <v>7</v>
      </c>
      <c r="C35" s="5" t="s">
        <v>153</v>
      </c>
    </row>
    <row r="36" spans="1:3" ht="12.75" x14ac:dyDescent="0.2">
      <c r="A36" s="5" t="s">
        <v>19</v>
      </c>
      <c r="B36" s="6">
        <v>7</v>
      </c>
      <c r="C36" s="5" t="s">
        <v>154</v>
      </c>
    </row>
    <row r="37" spans="1:3" ht="12.75" x14ac:dyDescent="0.2">
      <c r="A37" s="5" t="s">
        <v>19</v>
      </c>
      <c r="B37" s="6">
        <v>8</v>
      </c>
      <c r="C37" s="5" t="s">
        <v>225</v>
      </c>
    </row>
    <row r="38" spans="1:3" ht="12.75" x14ac:dyDescent="0.2">
      <c r="A38" s="5" t="s">
        <v>19</v>
      </c>
      <c r="B38" s="6">
        <v>8</v>
      </c>
      <c r="C38" s="5" t="s">
        <v>226</v>
      </c>
    </row>
    <row r="39" spans="1:3" ht="12.75" x14ac:dyDescent="0.2">
      <c r="A39" s="5" t="s">
        <v>19</v>
      </c>
      <c r="B39" s="6">
        <v>8</v>
      </c>
      <c r="C39" s="5" t="s">
        <v>227</v>
      </c>
    </row>
    <row r="40" spans="1:3" ht="12.75" x14ac:dyDescent="0.2">
      <c r="A40" s="5" t="s">
        <v>19</v>
      </c>
      <c r="B40" s="6">
        <v>8</v>
      </c>
      <c r="C40" s="5" t="s">
        <v>228</v>
      </c>
    </row>
    <row r="41" spans="1:3" ht="12.75" x14ac:dyDescent="0.2">
      <c r="A41" s="5" t="s">
        <v>19</v>
      </c>
      <c r="B41" s="6">
        <v>8</v>
      </c>
      <c r="C41" s="5" t="s">
        <v>229</v>
      </c>
    </row>
    <row r="42" spans="1:3" ht="12.75" x14ac:dyDescent="0.2">
      <c r="A42" s="5" t="s">
        <v>19</v>
      </c>
      <c r="B42" s="6">
        <v>9</v>
      </c>
      <c r="C42" s="5" t="s">
        <v>84</v>
      </c>
    </row>
    <row r="43" spans="1:3" ht="12.75" x14ac:dyDescent="0.2">
      <c r="A43" s="5" t="s">
        <v>19</v>
      </c>
      <c r="B43" s="6">
        <v>9</v>
      </c>
      <c r="C43" s="5" t="s">
        <v>85</v>
      </c>
    </row>
    <row r="44" spans="1:3" ht="12.75" x14ac:dyDescent="0.2">
      <c r="A44" s="5" t="s">
        <v>19</v>
      </c>
      <c r="B44" s="6">
        <v>9</v>
      </c>
      <c r="C44" s="5" t="s">
        <v>86</v>
      </c>
    </row>
    <row r="45" spans="1:3" ht="12.75" x14ac:dyDescent="0.2">
      <c r="A45" s="5" t="s">
        <v>19</v>
      </c>
      <c r="B45" s="6">
        <v>9</v>
      </c>
      <c r="C45" s="5" t="s">
        <v>87</v>
      </c>
    </row>
    <row r="46" spans="1:3" ht="12.75" x14ac:dyDescent="0.2">
      <c r="A46" s="5" t="s">
        <v>19</v>
      </c>
      <c r="B46" s="6">
        <v>9</v>
      </c>
      <c r="C46" s="5" t="s">
        <v>88</v>
      </c>
    </row>
    <row r="47" spans="1:3" ht="12.75" x14ac:dyDescent="0.2">
      <c r="A47" s="5" t="s">
        <v>19</v>
      </c>
      <c r="B47" s="6">
        <v>10</v>
      </c>
      <c r="C47" s="5" t="s">
        <v>25</v>
      </c>
    </row>
    <row r="48" spans="1:3" ht="12.75" x14ac:dyDescent="0.2">
      <c r="A48" s="5" t="s">
        <v>19</v>
      </c>
      <c r="B48" s="6">
        <v>10</v>
      </c>
      <c r="C48" s="5" t="s">
        <v>26</v>
      </c>
    </row>
    <row r="49" spans="1:3" ht="12.75" x14ac:dyDescent="0.2">
      <c r="A49" s="5" t="s">
        <v>19</v>
      </c>
      <c r="B49" s="6">
        <v>10</v>
      </c>
      <c r="C49" s="5" t="s">
        <v>27</v>
      </c>
    </row>
    <row r="50" spans="1:3" ht="12.75" x14ac:dyDescent="0.2">
      <c r="A50" s="5" t="s">
        <v>19</v>
      </c>
      <c r="B50" s="6">
        <v>10</v>
      </c>
      <c r="C50" s="5" t="s">
        <v>28</v>
      </c>
    </row>
    <row r="51" spans="1:3" ht="12.75" x14ac:dyDescent="0.2">
      <c r="A51" s="5" t="s">
        <v>19</v>
      </c>
      <c r="B51" s="6">
        <v>10</v>
      </c>
      <c r="C51" s="5" t="s">
        <v>29</v>
      </c>
    </row>
    <row r="52" spans="1:3" ht="12.75" x14ac:dyDescent="0.2">
      <c r="A52" s="5" t="s">
        <v>19</v>
      </c>
      <c r="B52" s="6">
        <v>11</v>
      </c>
      <c r="C52" s="5" t="s">
        <v>20</v>
      </c>
    </row>
    <row r="53" spans="1:3" ht="12.75" x14ac:dyDescent="0.2">
      <c r="A53" s="5" t="s">
        <v>19</v>
      </c>
      <c r="B53" s="6">
        <v>11</v>
      </c>
      <c r="C53" s="5" t="s">
        <v>21</v>
      </c>
    </row>
    <row r="54" spans="1:3" ht="12.75" x14ac:dyDescent="0.2">
      <c r="A54" s="5" t="s">
        <v>19</v>
      </c>
      <c r="B54" s="6">
        <v>11</v>
      </c>
      <c r="C54" s="5" t="s">
        <v>22</v>
      </c>
    </row>
    <row r="55" spans="1:3" ht="12.75" x14ac:dyDescent="0.2">
      <c r="A55" s="5" t="s">
        <v>19</v>
      </c>
      <c r="B55" s="6">
        <v>11</v>
      </c>
      <c r="C55" s="5" t="s">
        <v>23</v>
      </c>
    </row>
    <row r="56" spans="1:3" ht="12.75" x14ac:dyDescent="0.2">
      <c r="A56" s="5" t="s">
        <v>19</v>
      </c>
      <c r="B56" s="6">
        <v>11</v>
      </c>
      <c r="C56" s="5" t="s">
        <v>24</v>
      </c>
    </row>
    <row r="57" spans="1:3" ht="12.75" x14ac:dyDescent="0.2">
      <c r="A57" s="5" t="s">
        <v>19</v>
      </c>
      <c r="B57" s="6">
        <v>12</v>
      </c>
      <c r="C57" s="5" t="s">
        <v>30</v>
      </c>
    </row>
    <row r="58" spans="1:3" ht="12.75" x14ac:dyDescent="0.2">
      <c r="A58" s="5" t="s">
        <v>19</v>
      </c>
      <c r="B58" s="6">
        <v>12</v>
      </c>
      <c r="C58" s="5" t="s">
        <v>31</v>
      </c>
    </row>
    <row r="59" spans="1:3" ht="12.75" x14ac:dyDescent="0.2">
      <c r="A59" s="5" t="s">
        <v>19</v>
      </c>
      <c r="B59" s="6">
        <v>12</v>
      </c>
      <c r="C59" s="5" t="s">
        <v>32</v>
      </c>
    </row>
    <row r="60" spans="1:3" ht="12.75" x14ac:dyDescent="0.2">
      <c r="A60" s="5" t="s">
        <v>19</v>
      </c>
      <c r="B60" s="6">
        <v>12</v>
      </c>
      <c r="C60" s="5" t="s">
        <v>33</v>
      </c>
    </row>
    <row r="61" spans="1:3" ht="12.75" x14ac:dyDescent="0.2">
      <c r="A61" s="5" t="s">
        <v>19</v>
      </c>
      <c r="B61" s="6">
        <v>12</v>
      </c>
      <c r="C61" s="5" t="s">
        <v>34</v>
      </c>
    </row>
    <row r="62" spans="1:3" ht="12.75" x14ac:dyDescent="0.2">
      <c r="A62" s="5" t="s">
        <v>19</v>
      </c>
      <c r="B62" s="6">
        <v>13</v>
      </c>
      <c r="C62" s="5" t="s">
        <v>167</v>
      </c>
    </row>
    <row r="63" spans="1:3" ht="12.75" x14ac:dyDescent="0.2">
      <c r="A63" s="5" t="s">
        <v>19</v>
      </c>
      <c r="B63" s="6">
        <v>13</v>
      </c>
      <c r="C63" s="5" t="s">
        <v>168</v>
      </c>
    </row>
    <row r="64" spans="1:3" ht="12.75" x14ac:dyDescent="0.2">
      <c r="A64" s="5" t="s">
        <v>19</v>
      </c>
      <c r="B64" s="6">
        <v>13</v>
      </c>
      <c r="C64" s="5" t="s">
        <v>169</v>
      </c>
    </row>
    <row r="65" spans="1:5" ht="12.75" x14ac:dyDescent="0.2">
      <c r="A65" s="5" t="s">
        <v>19</v>
      </c>
      <c r="B65" s="6">
        <v>13</v>
      </c>
      <c r="C65" s="5" t="s">
        <v>170</v>
      </c>
    </row>
    <row r="66" spans="1:5" ht="12.75" x14ac:dyDescent="0.2">
      <c r="A66" s="5" t="s">
        <v>19</v>
      </c>
      <c r="B66" s="6">
        <v>13</v>
      </c>
      <c r="C66" s="5" t="s">
        <v>171</v>
      </c>
    </row>
    <row r="67" spans="1:5" ht="12.75" x14ac:dyDescent="0.2">
      <c r="A67" s="5" t="s">
        <v>35</v>
      </c>
      <c r="B67" s="6">
        <v>1</v>
      </c>
      <c r="C67" s="5" t="s">
        <v>104</v>
      </c>
    </row>
    <row r="68" spans="1:5" ht="12.75" x14ac:dyDescent="0.2">
      <c r="A68" s="5" t="s">
        <v>35</v>
      </c>
      <c r="B68" s="6">
        <v>1</v>
      </c>
      <c r="C68" s="5" t="s">
        <v>105</v>
      </c>
    </row>
    <row r="69" spans="1:5" ht="12.75" x14ac:dyDescent="0.2">
      <c r="A69" s="5" t="s">
        <v>35</v>
      </c>
      <c r="B69" s="6">
        <v>1</v>
      </c>
      <c r="C69" s="5" t="s">
        <v>106</v>
      </c>
    </row>
    <row r="70" spans="1:5" ht="12.75" x14ac:dyDescent="0.2">
      <c r="A70" s="5" t="s">
        <v>35</v>
      </c>
      <c r="B70" s="6">
        <v>1</v>
      </c>
      <c r="C70" s="5" t="s">
        <v>107</v>
      </c>
    </row>
    <row r="71" spans="1:5" ht="12.75" x14ac:dyDescent="0.2">
      <c r="A71" s="5" t="s">
        <v>35</v>
      </c>
      <c r="B71" s="6">
        <v>1</v>
      </c>
      <c r="C71" s="5" t="s">
        <v>108</v>
      </c>
    </row>
    <row r="72" spans="1:5" ht="12.75" x14ac:dyDescent="0.2">
      <c r="A72" s="6" t="s">
        <v>35</v>
      </c>
      <c r="B72" s="6">
        <v>1</v>
      </c>
      <c r="C72" s="3" t="s">
        <v>110</v>
      </c>
      <c r="D72" s="3"/>
      <c r="E72" s="3"/>
    </row>
    <row r="73" spans="1:5" ht="12.75" x14ac:dyDescent="0.2">
      <c r="A73" s="6" t="s">
        <v>35</v>
      </c>
      <c r="B73" s="6">
        <v>1</v>
      </c>
      <c r="C73" s="3" t="s">
        <v>111</v>
      </c>
      <c r="D73" s="3"/>
      <c r="E73" s="3"/>
    </row>
    <row r="74" spans="1:5" ht="12.75" x14ac:dyDescent="0.2">
      <c r="A74" s="5" t="s">
        <v>35</v>
      </c>
      <c r="B74" s="6">
        <v>2</v>
      </c>
      <c r="C74" s="5" t="s">
        <v>112</v>
      </c>
    </row>
    <row r="75" spans="1:5" ht="12.75" x14ac:dyDescent="0.2">
      <c r="A75" s="5" t="s">
        <v>35</v>
      </c>
      <c r="B75" s="6">
        <v>2</v>
      </c>
      <c r="C75" s="5" t="s">
        <v>113</v>
      </c>
    </row>
    <row r="76" spans="1:5" ht="12.75" x14ac:dyDescent="0.2">
      <c r="A76" s="5" t="s">
        <v>35</v>
      </c>
      <c r="B76" s="6">
        <v>2</v>
      </c>
      <c r="C76" s="5" t="s">
        <v>114</v>
      </c>
    </row>
    <row r="77" spans="1:5" ht="12.75" x14ac:dyDescent="0.2">
      <c r="A77" s="5" t="s">
        <v>35</v>
      </c>
      <c r="B77" s="6">
        <v>2</v>
      </c>
      <c r="C77" s="5" t="s">
        <v>115</v>
      </c>
    </row>
    <row r="78" spans="1:5" ht="12.75" x14ac:dyDescent="0.2">
      <c r="A78" s="5" t="s">
        <v>35</v>
      </c>
      <c r="B78" s="6">
        <v>2</v>
      </c>
      <c r="C78" s="5" t="s">
        <v>116</v>
      </c>
    </row>
    <row r="79" spans="1:5" ht="12.75" x14ac:dyDescent="0.2">
      <c r="A79" s="5" t="s">
        <v>35</v>
      </c>
      <c r="B79" s="6">
        <v>2</v>
      </c>
      <c r="C79" s="5" t="s">
        <v>117</v>
      </c>
    </row>
    <row r="80" spans="1:5" ht="12.75" x14ac:dyDescent="0.2">
      <c r="A80" s="5" t="s">
        <v>35</v>
      </c>
      <c r="B80" s="6">
        <v>3</v>
      </c>
      <c r="C80" s="5" t="s">
        <v>36</v>
      </c>
    </row>
    <row r="81" spans="1:3" ht="12.75" x14ac:dyDescent="0.2">
      <c r="A81" s="5" t="s">
        <v>35</v>
      </c>
      <c r="B81" s="6">
        <v>3</v>
      </c>
      <c r="C81" s="5" t="s">
        <v>37</v>
      </c>
    </row>
    <row r="82" spans="1:3" ht="12.75" x14ac:dyDescent="0.2">
      <c r="A82" s="5" t="s">
        <v>35</v>
      </c>
      <c r="B82" s="6">
        <v>3</v>
      </c>
      <c r="C82" s="5" t="s">
        <v>38</v>
      </c>
    </row>
    <row r="83" spans="1:3" ht="12.75" x14ac:dyDescent="0.2">
      <c r="A83" s="5" t="s">
        <v>35</v>
      </c>
      <c r="B83" s="6">
        <v>3</v>
      </c>
      <c r="C83" s="5" t="s">
        <v>39</v>
      </c>
    </row>
    <row r="84" spans="1:3" ht="12.75" x14ac:dyDescent="0.2">
      <c r="A84" s="5" t="s">
        <v>35</v>
      </c>
      <c r="B84" s="6">
        <v>3</v>
      </c>
      <c r="C84" s="5" t="s">
        <v>40</v>
      </c>
    </row>
    <row r="85" spans="1:3" ht="12.75" x14ac:dyDescent="0.2">
      <c r="A85" s="5" t="s">
        <v>35</v>
      </c>
      <c r="B85" s="6">
        <v>4</v>
      </c>
      <c r="C85" s="5" t="s">
        <v>128</v>
      </c>
    </row>
    <row r="86" spans="1:3" ht="12.75" x14ac:dyDescent="0.2">
      <c r="A86" s="5" t="s">
        <v>35</v>
      </c>
      <c r="B86" s="6">
        <v>4</v>
      </c>
      <c r="C86" s="5" t="s">
        <v>129</v>
      </c>
    </row>
    <row r="87" spans="1:3" ht="12.75" x14ac:dyDescent="0.2">
      <c r="A87" s="5" t="s">
        <v>35</v>
      </c>
      <c r="B87" s="6">
        <v>4</v>
      </c>
      <c r="C87" s="5" t="s">
        <v>130</v>
      </c>
    </row>
    <row r="88" spans="1:3" ht="12.75" x14ac:dyDescent="0.2">
      <c r="A88" s="5" t="s">
        <v>35</v>
      </c>
      <c r="B88" s="6">
        <v>4</v>
      </c>
      <c r="C88" s="5" t="s">
        <v>131</v>
      </c>
    </row>
    <row r="89" spans="1:3" ht="12.75" x14ac:dyDescent="0.2">
      <c r="A89" s="5" t="s">
        <v>35</v>
      </c>
      <c r="B89" s="6">
        <v>4</v>
      </c>
      <c r="C89" s="5" t="s">
        <v>132</v>
      </c>
    </row>
    <row r="90" spans="1:3" ht="12.75" x14ac:dyDescent="0.2">
      <c r="A90" s="5" t="s">
        <v>35</v>
      </c>
      <c r="B90" s="6">
        <v>5</v>
      </c>
      <c r="C90" s="5" t="s">
        <v>204</v>
      </c>
    </row>
    <row r="91" spans="1:3" ht="12.75" x14ac:dyDescent="0.2">
      <c r="A91" s="5" t="s">
        <v>35</v>
      </c>
      <c r="B91" s="6">
        <v>5</v>
      </c>
      <c r="C91" s="5" t="s">
        <v>205</v>
      </c>
    </row>
    <row r="92" spans="1:3" ht="12.75" x14ac:dyDescent="0.2">
      <c r="A92" s="5" t="s">
        <v>35</v>
      </c>
      <c r="B92" s="6">
        <v>5</v>
      </c>
      <c r="C92" s="5" t="s">
        <v>206</v>
      </c>
    </row>
    <row r="93" spans="1:3" ht="12.75" x14ac:dyDescent="0.2">
      <c r="A93" s="5" t="s">
        <v>35</v>
      </c>
      <c r="B93" s="6">
        <v>5</v>
      </c>
      <c r="C93" s="5" t="s">
        <v>207</v>
      </c>
    </row>
    <row r="94" spans="1:3" ht="12.75" x14ac:dyDescent="0.2">
      <c r="A94" s="5" t="s">
        <v>35</v>
      </c>
      <c r="B94" s="6">
        <v>5</v>
      </c>
      <c r="C94" s="5" t="s">
        <v>208</v>
      </c>
    </row>
    <row r="95" spans="1:3" ht="12.75" x14ac:dyDescent="0.2">
      <c r="A95" s="5" t="s">
        <v>35</v>
      </c>
      <c r="B95" s="6">
        <v>5</v>
      </c>
      <c r="C95" s="5" t="s">
        <v>209</v>
      </c>
    </row>
    <row r="96" spans="1:3" ht="12.75" x14ac:dyDescent="0.2">
      <c r="A96" s="5" t="s">
        <v>35</v>
      </c>
      <c r="B96" s="6">
        <v>6</v>
      </c>
      <c r="C96" s="5" t="s">
        <v>68</v>
      </c>
    </row>
    <row r="97" spans="1:3" ht="12.75" x14ac:dyDescent="0.2">
      <c r="A97" s="5" t="s">
        <v>35</v>
      </c>
      <c r="B97" s="6">
        <v>6</v>
      </c>
      <c r="C97" s="5" t="s">
        <v>69</v>
      </c>
    </row>
    <row r="98" spans="1:3" ht="12.75" x14ac:dyDescent="0.2">
      <c r="A98" s="5" t="s">
        <v>35</v>
      </c>
      <c r="B98" s="6">
        <v>6</v>
      </c>
      <c r="C98" s="5" t="s">
        <v>70</v>
      </c>
    </row>
    <row r="99" spans="1:3" ht="12.75" x14ac:dyDescent="0.2">
      <c r="A99" s="5" t="s">
        <v>35</v>
      </c>
      <c r="B99" s="6">
        <v>6</v>
      </c>
      <c r="C99" s="5" t="s">
        <v>71</v>
      </c>
    </row>
    <row r="100" spans="1:3" ht="12.75" x14ac:dyDescent="0.2">
      <c r="A100" s="5" t="s">
        <v>35</v>
      </c>
      <c r="B100" s="6">
        <v>6</v>
      </c>
      <c r="C100" s="5" t="s">
        <v>72</v>
      </c>
    </row>
    <row r="101" spans="1:3" ht="12.75" x14ac:dyDescent="0.2">
      <c r="A101" s="5" t="s">
        <v>35</v>
      </c>
      <c r="B101" s="6">
        <v>7</v>
      </c>
      <c r="C101" s="5" t="s">
        <v>61</v>
      </c>
    </row>
    <row r="102" spans="1:3" ht="12.75" x14ac:dyDescent="0.2">
      <c r="A102" s="5" t="s">
        <v>35</v>
      </c>
      <c r="B102" s="6">
        <v>7</v>
      </c>
      <c r="C102" s="5" t="s">
        <v>62</v>
      </c>
    </row>
    <row r="103" spans="1:3" ht="12.75" x14ac:dyDescent="0.2">
      <c r="A103" s="5" t="s">
        <v>35</v>
      </c>
      <c r="B103" s="6">
        <v>7</v>
      </c>
      <c r="C103" s="5" t="s">
        <v>63</v>
      </c>
    </row>
    <row r="104" spans="1:3" ht="12.75" x14ac:dyDescent="0.2">
      <c r="A104" s="5" t="s">
        <v>35</v>
      </c>
      <c r="B104" s="6">
        <v>7</v>
      </c>
      <c r="C104" s="5" t="s">
        <v>64</v>
      </c>
    </row>
    <row r="105" spans="1:3" ht="12.75" x14ac:dyDescent="0.2">
      <c r="A105" s="5" t="s">
        <v>35</v>
      </c>
      <c r="B105" s="6">
        <v>7</v>
      </c>
      <c r="C105" s="5" t="s">
        <v>65</v>
      </c>
    </row>
    <row r="106" spans="1:3" ht="12.75" x14ac:dyDescent="0.2">
      <c r="A106" s="5" t="s">
        <v>35</v>
      </c>
      <c r="B106" s="6">
        <v>7</v>
      </c>
      <c r="C106" s="5" t="s">
        <v>66</v>
      </c>
    </row>
    <row r="107" spans="1:3" ht="12.75" x14ac:dyDescent="0.2">
      <c r="A107" s="5" t="s">
        <v>35</v>
      </c>
      <c r="B107" s="6">
        <v>7</v>
      </c>
      <c r="C107" s="5" t="s">
        <v>67</v>
      </c>
    </row>
    <row r="108" spans="1:3" ht="12.75" x14ac:dyDescent="0.2">
      <c r="A108" s="5" t="s">
        <v>35</v>
      </c>
      <c r="B108" s="6">
        <v>8</v>
      </c>
      <c r="C108" s="5" t="s">
        <v>235</v>
      </c>
    </row>
    <row r="109" spans="1:3" ht="12.75" x14ac:dyDescent="0.2">
      <c r="A109" s="5" t="s">
        <v>35</v>
      </c>
      <c r="B109" s="6">
        <v>8</v>
      </c>
      <c r="C109" s="5" t="s">
        <v>236</v>
      </c>
    </row>
    <row r="110" spans="1:3" ht="12.75" x14ac:dyDescent="0.2">
      <c r="A110" s="5" t="s">
        <v>35</v>
      </c>
      <c r="B110" s="6">
        <v>8</v>
      </c>
      <c r="C110" s="5" t="s">
        <v>237</v>
      </c>
    </row>
    <row r="111" spans="1:3" ht="12.75" x14ac:dyDescent="0.2">
      <c r="A111" s="5" t="s">
        <v>35</v>
      </c>
      <c r="B111" s="6">
        <v>8</v>
      </c>
      <c r="C111" s="5" t="s">
        <v>238</v>
      </c>
    </row>
    <row r="112" spans="1:3" ht="12.75" x14ac:dyDescent="0.2">
      <c r="A112" s="5" t="s">
        <v>35</v>
      </c>
      <c r="B112" s="6">
        <v>8</v>
      </c>
      <c r="C112" s="5" t="s">
        <v>239</v>
      </c>
    </row>
    <row r="113" spans="1:3" ht="12.75" x14ac:dyDescent="0.2">
      <c r="A113" s="5" t="s">
        <v>35</v>
      </c>
      <c r="B113" s="6">
        <v>9</v>
      </c>
      <c r="C113" s="5" t="s">
        <v>210</v>
      </c>
    </row>
    <row r="114" spans="1:3" ht="12.75" x14ac:dyDescent="0.2">
      <c r="A114" s="5" t="s">
        <v>35</v>
      </c>
      <c r="B114" s="6">
        <v>9</v>
      </c>
      <c r="C114" s="5" t="s">
        <v>211</v>
      </c>
    </row>
    <row r="115" spans="1:3" ht="12.75" x14ac:dyDescent="0.2">
      <c r="A115" s="5" t="s">
        <v>35</v>
      </c>
      <c r="B115" s="6">
        <v>9</v>
      </c>
      <c r="C115" s="5" t="s">
        <v>212</v>
      </c>
    </row>
    <row r="116" spans="1:3" ht="12.75" x14ac:dyDescent="0.2">
      <c r="A116" s="5" t="s">
        <v>35</v>
      </c>
      <c r="B116" s="6">
        <v>9</v>
      </c>
      <c r="C116" s="5" t="s">
        <v>213</v>
      </c>
    </row>
    <row r="117" spans="1:3" ht="12.75" x14ac:dyDescent="0.2">
      <c r="A117" s="5" t="s">
        <v>35</v>
      </c>
      <c r="B117" s="6">
        <v>9</v>
      </c>
      <c r="C117" s="5" t="s">
        <v>214</v>
      </c>
    </row>
    <row r="118" spans="1:3" ht="12.75" x14ac:dyDescent="0.2">
      <c r="A118" s="5" t="s">
        <v>35</v>
      </c>
      <c r="B118" s="6">
        <v>10</v>
      </c>
      <c r="C118" s="5" t="s">
        <v>215</v>
      </c>
    </row>
    <row r="119" spans="1:3" ht="12.75" x14ac:dyDescent="0.2">
      <c r="A119" s="5" t="s">
        <v>35</v>
      </c>
      <c r="B119" s="6">
        <v>10</v>
      </c>
      <c r="C119" s="5" t="s">
        <v>216</v>
      </c>
    </row>
    <row r="120" spans="1:3" ht="12.75" x14ac:dyDescent="0.2">
      <c r="A120" s="5" t="s">
        <v>35</v>
      </c>
      <c r="B120" s="6">
        <v>10</v>
      </c>
      <c r="C120" s="5" t="s">
        <v>217</v>
      </c>
    </row>
    <row r="121" spans="1:3" ht="12.75" x14ac:dyDescent="0.2">
      <c r="A121" s="5" t="s">
        <v>35</v>
      </c>
      <c r="B121" s="6">
        <v>10</v>
      </c>
      <c r="C121" s="5" t="s">
        <v>218</v>
      </c>
    </row>
    <row r="122" spans="1:3" ht="12.75" x14ac:dyDescent="0.2">
      <c r="A122" s="5" t="s">
        <v>35</v>
      </c>
      <c r="B122" s="6">
        <v>10</v>
      </c>
      <c r="C122" s="5" t="s">
        <v>219</v>
      </c>
    </row>
    <row r="123" spans="1:3" ht="12.75" x14ac:dyDescent="0.2">
      <c r="A123" s="5" t="s">
        <v>35</v>
      </c>
      <c r="B123" s="6">
        <v>11</v>
      </c>
      <c r="C123" s="5" t="s">
        <v>94</v>
      </c>
    </row>
    <row r="124" spans="1:3" ht="12.75" x14ac:dyDescent="0.2">
      <c r="A124" s="5" t="s">
        <v>35</v>
      </c>
      <c r="B124" s="6">
        <v>11</v>
      </c>
      <c r="C124" s="5" t="s">
        <v>95</v>
      </c>
    </row>
    <row r="125" spans="1:3" ht="12.75" x14ac:dyDescent="0.2">
      <c r="A125" s="5" t="s">
        <v>35</v>
      </c>
      <c r="B125" s="6">
        <v>11</v>
      </c>
      <c r="C125" s="5" t="s">
        <v>96</v>
      </c>
    </row>
    <row r="126" spans="1:3" ht="12.75" x14ac:dyDescent="0.2">
      <c r="A126" s="5" t="s">
        <v>35</v>
      </c>
      <c r="B126" s="6">
        <v>11</v>
      </c>
      <c r="C126" s="5" t="s">
        <v>97</v>
      </c>
    </row>
    <row r="127" spans="1:3" ht="12.75" x14ac:dyDescent="0.2">
      <c r="A127" s="5" t="s">
        <v>35</v>
      </c>
      <c r="B127" s="6">
        <v>11</v>
      </c>
      <c r="C127" s="5" t="s">
        <v>98</v>
      </c>
    </row>
    <row r="128" spans="1:3" ht="12.75" x14ac:dyDescent="0.2">
      <c r="A128" s="5" t="s">
        <v>73</v>
      </c>
      <c r="B128" s="6">
        <v>1</v>
      </c>
      <c r="C128" s="5" t="s">
        <v>177</v>
      </c>
    </row>
    <row r="129" spans="1:3" ht="12.75" x14ac:dyDescent="0.2">
      <c r="A129" s="5" t="s">
        <v>73</v>
      </c>
      <c r="B129" s="6">
        <v>1</v>
      </c>
      <c r="C129" s="5" t="s">
        <v>178</v>
      </c>
    </row>
    <row r="130" spans="1:3" ht="12.75" x14ac:dyDescent="0.2">
      <c r="A130" s="5" t="s">
        <v>73</v>
      </c>
      <c r="B130" s="6">
        <v>1</v>
      </c>
      <c r="C130" s="5" t="s">
        <v>179</v>
      </c>
    </row>
    <row r="131" spans="1:3" ht="12.75" x14ac:dyDescent="0.2">
      <c r="A131" s="5" t="s">
        <v>73</v>
      </c>
      <c r="B131" s="6">
        <v>1</v>
      </c>
      <c r="C131" s="5" t="s">
        <v>180</v>
      </c>
    </row>
    <row r="132" spans="1:3" ht="12.75" x14ac:dyDescent="0.2">
      <c r="A132" s="5" t="s">
        <v>73</v>
      </c>
      <c r="B132" s="6">
        <v>1</v>
      </c>
      <c r="C132" s="5" t="s">
        <v>181</v>
      </c>
    </row>
    <row r="133" spans="1:3" ht="12.75" x14ac:dyDescent="0.2">
      <c r="A133" s="5" t="s">
        <v>73</v>
      </c>
      <c r="B133" s="6">
        <v>2</v>
      </c>
      <c r="C133" s="5" t="s">
        <v>162</v>
      </c>
    </row>
    <row r="134" spans="1:3" ht="12.75" x14ac:dyDescent="0.2">
      <c r="A134" s="5" t="s">
        <v>73</v>
      </c>
      <c r="B134" s="6">
        <v>2</v>
      </c>
      <c r="C134" s="5" t="s">
        <v>163</v>
      </c>
    </row>
    <row r="135" spans="1:3" ht="12.75" x14ac:dyDescent="0.2">
      <c r="A135" s="5" t="s">
        <v>73</v>
      </c>
      <c r="B135" s="6">
        <v>2</v>
      </c>
      <c r="C135" s="5" t="s">
        <v>164</v>
      </c>
    </row>
    <row r="136" spans="1:3" ht="12.75" x14ac:dyDescent="0.2">
      <c r="A136" s="5" t="s">
        <v>73</v>
      </c>
      <c r="B136" s="6">
        <v>2</v>
      </c>
      <c r="C136" s="5" t="s">
        <v>165</v>
      </c>
    </row>
    <row r="137" spans="1:3" ht="12.75" x14ac:dyDescent="0.2">
      <c r="A137" s="5" t="s">
        <v>73</v>
      </c>
      <c r="B137" s="6">
        <v>2</v>
      </c>
      <c r="C137" s="5" t="s">
        <v>166</v>
      </c>
    </row>
    <row r="138" spans="1:3" ht="12.75" x14ac:dyDescent="0.2">
      <c r="A138" s="5" t="s">
        <v>73</v>
      </c>
      <c r="B138" s="6">
        <v>3</v>
      </c>
      <c r="C138" s="5" t="s">
        <v>240</v>
      </c>
    </row>
    <row r="139" spans="1:3" ht="12.75" x14ac:dyDescent="0.2">
      <c r="A139" s="5" t="s">
        <v>73</v>
      </c>
      <c r="B139" s="6">
        <v>3</v>
      </c>
      <c r="C139" s="5" t="s">
        <v>241</v>
      </c>
    </row>
    <row r="140" spans="1:3" ht="12.75" x14ac:dyDescent="0.2">
      <c r="A140" s="5" t="s">
        <v>73</v>
      </c>
      <c r="B140" s="6">
        <v>3</v>
      </c>
      <c r="C140" s="5" t="s">
        <v>242</v>
      </c>
    </row>
    <row r="141" spans="1:3" ht="12.75" x14ac:dyDescent="0.2">
      <c r="A141" s="5" t="s">
        <v>73</v>
      </c>
      <c r="B141" s="6">
        <v>3</v>
      </c>
      <c r="C141" s="5" t="s">
        <v>243</v>
      </c>
    </row>
    <row r="142" spans="1:3" ht="12.75" x14ac:dyDescent="0.2">
      <c r="A142" s="5" t="s">
        <v>73</v>
      </c>
      <c r="B142" s="6">
        <v>3</v>
      </c>
      <c r="C142" s="5" t="s">
        <v>244</v>
      </c>
    </row>
    <row r="143" spans="1:3" ht="12.75" x14ac:dyDescent="0.2">
      <c r="A143" s="5" t="s">
        <v>73</v>
      </c>
      <c r="B143" s="6">
        <v>4</v>
      </c>
      <c r="C143" s="5" t="s">
        <v>99</v>
      </c>
    </row>
    <row r="144" spans="1:3" ht="12.75" x14ac:dyDescent="0.2">
      <c r="A144" s="5" t="s">
        <v>73</v>
      </c>
      <c r="B144" s="6">
        <v>4</v>
      </c>
      <c r="C144" s="5" t="s">
        <v>100</v>
      </c>
    </row>
    <row r="145" spans="1:3" ht="12.75" x14ac:dyDescent="0.2">
      <c r="A145" s="5" t="s">
        <v>73</v>
      </c>
      <c r="B145" s="6">
        <v>4</v>
      </c>
      <c r="C145" s="5" t="s">
        <v>101</v>
      </c>
    </row>
    <row r="146" spans="1:3" ht="12.75" x14ac:dyDescent="0.2">
      <c r="A146" s="5" t="s">
        <v>73</v>
      </c>
      <c r="B146" s="6">
        <v>4</v>
      </c>
      <c r="C146" s="5" t="s">
        <v>102</v>
      </c>
    </row>
    <row r="147" spans="1:3" ht="12.75" x14ac:dyDescent="0.2">
      <c r="A147" s="5" t="s">
        <v>73</v>
      </c>
      <c r="B147" s="6">
        <v>4</v>
      </c>
      <c r="C147" s="5" t="s">
        <v>103</v>
      </c>
    </row>
    <row r="148" spans="1:3" ht="12.75" x14ac:dyDescent="0.2">
      <c r="A148" s="5" t="s">
        <v>73</v>
      </c>
      <c r="B148" s="6">
        <v>5</v>
      </c>
      <c r="C148" s="5" t="s">
        <v>74</v>
      </c>
    </row>
    <row r="149" spans="1:3" ht="12.75" x14ac:dyDescent="0.2">
      <c r="A149" s="5" t="s">
        <v>73</v>
      </c>
      <c r="B149" s="6">
        <v>5</v>
      </c>
      <c r="C149" s="5" t="s">
        <v>75</v>
      </c>
    </row>
    <row r="150" spans="1:3" ht="12.75" x14ac:dyDescent="0.2">
      <c r="A150" s="5" t="s">
        <v>73</v>
      </c>
      <c r="B150" s="6">
        <v>5</v>
      </c>
      <c r="C150" s="5" t="s">
        <v>76</v>
      </c>
    </row>
    <row r="151" spans="1:3" ht="12.75" x14ac:dyDescent="0.2">
      <c r="A151" s="5" t="s">
        <v>73</v>
      </c>
      <c r="B151" s="6">
        <v>5</v>
      </c>
      <c r="C151" s="5" t="s">
        <v>77</v>
      </c>
    </row>
    <row r="152" spans="1:3" ht="12.75" x14ac:dyDescent="0.2">
      <c r="A152" s="5" t="s">
        <v>73</v>
      </c>
      <c r="B152" s="6">
        <v>5</v>
      </c>
      <c r="C152" s="5" t="s">
        <v>78</v>
      </c>
    </row>
    <row r="153" spans="1:3" ht="12.75" x14ac:dyDescent="0.2">
      <c r="A153" s="5" t="s">
        <v>73</v>
      </c>
      <c r="B153" s="6">
        <v>6</v>
      </c>
      <c r="C153" s="5" t="s">
        <v>138</v>
      </c>
    </row>
    <row r="154" spans="1:3" ht="12.75" x14ac:dyDescent="0.2">
      <c r="A154" s="5" t="s">
        <v>73</v>
      </c>
      <c r="B154" s="6">
        <v>6</v>
      </c>
      <c r="C154" s="5" t="s">
        <v>139</v>
      </c>
    </row>
    <row r="155" spans="1:3" ht="12.75" x14ac:dyDescent="0.2">
      <c r="A155" s="5" t="s">
        <v>73</v>
      </c>
      <c r="B155" s="6">
        <v>6</v>
      </c>
      <c r="C155" s="5" t="s">
        <v>140</v>
      </c>
    </row>
    <row r="156" spans="1:3" ht="12.75" x14ac:dyDescent="0.2">
      <c r="A156" s="5" t="s">
        <v>73</v>
      </c>
      <c r="B156" s="6">
        <v>6</v>
      </c>
      <c r="C156" s="5" t="s">
        <v>141</v>
      </c>
    </row>
    <row r="157" spans="1:3" ht="12.75" x14ac:dyDescent="0.2">
      <c r="A157" s="5" t="s">
        <v>73</v>
      </c>
      <c r="B157" s="6">
        <v>6</v>
      </c>
      <c r="C157" s="5" t="s">
        <v>142</v>
      </c>
    </row>
    <row r="158" spans="1:3" ht="12.75" x14ac:dyDescent="0.2">
      <c r="A158" s="5" t="s">
        <v>73</v>
      </c>
      <c r="B158" s="6">
        <v>6</v>
      </c>
      <c r="C158" s="5" t="s">
        <v>143</v>
      </c>
    </row>
    <row r="159" spans="1:3" ht="12.75" x14ac:dyDescent="0.2">
      <c r="A159" s="5" t="s">
        <v>73</v>
      </c>
      <c r="B159" s="6">
        <v>7</v>
      </c>
      <c r="C159" s="5" t="s">
        <v>79</v>
      </c>
    </row>
    <row r="160" spans="1:3" ht="12.75" x14ac:dyDescent="0.2">
      <c r="A160" s="5" t="s">
        <v>73</v>
      </c>
      <c r="B160" s="6">
        <v>7</v>
      </c>
      <c r="C160" s="5" t="s">
        <v>80</v>
      </c>
    </row>
    <row r="161" spans="1:3" ht="12.75" x14ac:dyDescent="0.2">
      <c r="A161" s="5" t="s">
        <v>73</v>
      </c>
      <c r="B161" s="6">
        <v>7</v>
      </c>
      <c r="C161" s="5" t="s">
        <v>81</v>
      </c>
    </row>
    <row r="162" spans="1:3" ht="12.75" x14ac:dyDescent="0.2">
      <c r="A162" s="5" t="s">
        <v>73</v>
      </c>
      <c r="B162" s="6">
        <v>7</v>
      </c>
      <c r="C162" s="5" t="s">
        <v>82</v>
      </c>
    </row>
    <row r="163" spans="1:3" ht="12.75" x14ac:dyDescent="0.2">
      <c r="A163" s="5" t="s">
        <v>73</v>
      </c>
      <c r="B163" s="6">
        <v>7</v>
      </c>
      <c r="C163" s="5" t="s">
        <v>83</v>
      </c>
    </row>
    <row r="164" spans="1:3" ht="12.75" x14ac:dyDescent="0.2">
      <c r="A164" s="5" t="s">
        <v>73</v>
      </c>
      <c r="B164" s="6">
        <v>8</v>
      </c>
      <c r="C164" s="5" t="s">
        <v>118</v>
      </c>
    </row>
    <row r="165" spans="1:3" ht="12.75" x14ac:dyDescent="0.2">
      <c r="A165" s="5" t="s">
        <v>73</v>
      </c>
      <c r="B165" s="6">
        <v>8</v>
      </c>
      <c r="C165" s="5" t="s">
        <v>119</v>
      </c>
    </row>
    <row r="166" spans="1:3" ht="12.75" x14ac:dyDescent="0.2">
      <c r="A166" s="5" t="s">
        <v>73</v>
      </c>
      <c r="B166" s="6">
        <v>8</v>
      </c>
      <c r="C166" s="5" t="s">
        <v>120</v>
      </c>
    </row>
    <row r="167" spans="1:3" ht="12.75" x14ac:dyDescent="0.2">
      <c r="A167" s="5" t="s">
        <v>73</v>
      </c>
      <c r="B167" s="6">
        <v>8</v>
      </c>
      <c r="C167" s="5" t="s">
        <v>121</v>
      </c>
    </row>
    <row r="168" spans="1:3" ht="12.75" x14ac:dyDescent="0.2">
      <c r="A168" s="5" t="s">
        <v>73</v>
      </c>
      <c r="B168" s="6">
        <v>8</v>
      </c>
      <c r="C168" s="5" t="s">
        <v>122</v>
      </c>
    </row>
    <row r="169" spans="1:3" ht="12.75" x14ac:dyDescent="0.2">
      <c r="A169" s="5" t="s">
        <v>73</v>
      </c>
      <c r="B169" s="6">
        <v>9</v>
      </c>
      <c r="C169" s="5" t="s">
        <v>197</v>
      </c>
    </row>
    <row r="170" spans="1:3" ht="12.75" x14ac:dyDescent="0.2">
      <c r="A170" s="5" t="s">
        <v>73</v>
      </c>
      <c r="B170" s="6">
        <v>9</v>
      </c>
      <c r="C170" s="5" t="s">
        <v>198</v>
      </c>
    </row>
    <row r="171" spans="1:3" ht="12.75" x14ac:dyDescent="0.2">
      <c r="A171" s="5" t="s">
        <v>73</v>
      </c>
      <c r="B171" s="6">
        <v>9</v>
      </c>
      <c r="C171" s="5" t="s">
        <v>199</v>
      </c>
    </row>
    <row r="172" spans="1:3" ht="12.75" x14ac:dyDescent="0.2">
      <c r="A172" s="5" t="s">
        <v>73</v>
      </c>
      <c r="B172" s="6">
        <v>9</v>
      </c>
      <c r="C172" s="5" t="s">
        <v>200</v>
      </c>
    </row>
    <row r="173" spans="1:3" ht="12.75" x14ac:dyDescent="0.2">
      <c r="A173" s="5" t="s">
        <v>73</v>
      </c>
      <c r="B173" s="6">
        <v>9</v>
      </c>
      <c r="C173" s="5" t="s">
        <v>201</v>
      </c>
    </row>
    <row r="174" spans="1:3" ht="12.75" x14ac:dyDescent="0.2">
      <c r="A174" s="5" t="s">
        <v>73</v>
      </c>
      <c r="B174" s="6">
        <v>9</v>
      </c>
      <c r="C174" s="5" t="s">
        <v>202</v>
      </c>
    </row>
    <row r="175" spans="1:3" ht="12.75" x14ac:dyDescent="0.2">
      <c r="A175" s="5" t="s">
        <v>73</v>
      </c>
      <c r="B175" s="6">
        <v>9</v>
      </c>
      <c r="C175" s="5" t="s">
        <v>203</v>
      </c>
    </row>
    <row r="176" spans="1:3" ht="12.75" x14ac:dyDescent="0.2">
      <c r="A176" s="5" t="s">
        <v>73</v>
      </c>
      <c r="B176" s="6">
        <v>10</v>
      </c>
      <c r="C176" s="5" t="s">
        <v>144</v>
      </c>
    </row>
    <row r="177" spans="1:3" ht="12.75" x14ac:dyDescent="0.2">
      <c r="A177" s="5" t="s">
        <v>73</v>
      </c>
      <c r="B177" s="6">
        <v>10</v>
      </c>
      <c r="C177" s="5" t="s">
        <v>145</v>
      </c>
    </row>
    <row r="178" spans="1:3" ht="12.75" x14ac:dyDescent="0.2">
      <c r="A178" s="5" t="s">
        <v>73</v>
      </c>
      <c r="B178" s="6">
        <v>10</v>
      </c>
      <c r="C178" s="5" t="s">
        <v>146</v>
      </c>
    </row>
    <row r="179" spans="1:3" ht="12.75" x14ac:dyDescent="0.2">
      <c r="A179" s="5" t="s">
        <v>73</v>
      </c>
      <c r="B179" s="6">
        <v>10</v>
      </c>
      <c r="C179" s="5" t="s">
        <v>147</v>
      </c>
    </row>
    <row r="180" spans="1:3" ht="12.75" x14ac:dyDescent="0.2">
      <c r="A180" s="5" t="s">
        <v>73</v>
      </c>
      <c r="B180" s="6">
        <v>10</v>
      </c>
      <c r="C180" s="5" t="s">
        <v>148</v>
      </c>
    </row>
    <row r="181" spans="1:3" ht="12.75" x14ac:dyDescent="0.2">
      <c r="A181" s="5" t="s">
        <v>73</v>
      </c>
      <c r="B181" s="6">
        <v>10</v>
      </c>
      <c r="C181" s="5" t="s">
        <v>149</v>
      </c>
    </row>
    <row r="182" spans="1:3" ht="12.75" x14ac:dyDescent="0.2">
      <c r="A182" s="5" t="s">
        <v>73</v>
      </c>
      <c r="B182" s="6">
        <v>11</v>
      </c>
      <c r="C182" s="5" t="s">
        <v>245</v>
      </c>
    </row>
    <row r="183" spans="1:3" ht="12.75" x14ac:dyDescent="0.2">
      <c r="A183" s="5" t="s">
        <v>73</v>
      </c>
      <c r="B183" s="6">
        <v>11</v>
      </c>
      <c r="C183" s="5" t="s">
        <v>246</v>
      </c>
    </row>
    <row r="184" spans="1:3" ht="12.75" x14ac:dyDescent="0.2">
      <c r="A184" s="5" t="s">
        <v>73</v>
      </c>
      <c r="B184" s="6">
        <v>11</v>
      </c>
      <c r="C184" s="5" t="s">
        <v>247</v>
      </c>
    </row>
    <row r="185" spans="1:3" ht="12.75" x14ac:dyDescent="0.2">
      <c r="A185" s="5" t="s">
        <v>73</v>
      </c>
      <c r="B185" s="6">
        <v>11</v>
      </c>
      <c r="C185" s="5" t="s">
        <v>248</v>
      </c>
    </row>
    <row r="186" spans="1:3" ht="12.75" x14ac:dyDescent="0.2">
      <c r="A186" s="5" t="s">
        <v>73</v>
      </c>
      <c r="B186" s="6">
        <v>11</v>
      </c>
      <c r="C186" s="5" t="s">
        <v>249</v>
      </c>
    </row>
    <row r="187" spans="1:3" ht="12.75" x14ac:dyDescent="0.2">
      <c r="A187" s="5" t="s">
        <v>8</v>
      </c>
      <c r="B187" s="6">
        <v>1</v>
      </c>
      <c r="C187" s="5" t="s">
        <v>255</v>
      </c>
    </row>
    <row r="188" spans="1:3" ht="12.75" x14ac:dyDescent="0.2">
      <c r="A188" s="5" t="s">
        <v>8</v>
      </c>
      <c r="B188" s="6">
        <v>1</v>
      </c>
      <c r="C188" s="5" t="s">
        <v>256</v>
      </c>
    </row>
    <row r="189" spans="1:3" ht="12.75" x14ac:dyDescent="0.2">
      <c r="A189" s="5" t="s">
        <v>8</v>
      </c>
      <c r="B189" s="6">
        <v>1</v>
      </c>
      <c r="C189" s="5" t="s">
        <v>257</v>
      </c>
    </row>
    <row r="190" spans="1:3" ht="12.75" x14ac:dyDescent="0.2">
      <c r="A190" s="5" t="s">
        <v>8</v>
      </c>
      <c r="B190" s="6">
        <v>1</v>
      </c>
      <c r="C190" s="5" t="s">
        <v>258</v>
      </c>
    </row>
    <row r="191" spans="1:3" ht="12.75" x14ac:dyDescent="0.2">
      <c r="A191" s="5" t="s">
        <v>8</v>
      </c>
      <c r="B191" s="6">
        <v>1</v>
      </c>
      <c r="C191" s="5" t="s">
        <v>259</v>
      </c>
    </row>
    <row r="192" spans="1:3" ht="12.75" x14ac:dyDescent="0.2">
      <c r="A192" s="5" t="s">
        <v>8</v>
      </c>
      <c r="B192" s="6">
        <v>2</v>
      </c>
      <c r="C192" s="5" t="s">
        <v>89</v>
      </c>
    </row>
    <row r="193" spans="1:3" ht="12.75" x14ac:dyDescent="0.2">
      <c r="A193" s="5" t="s">
        <v>8</v>
      </c>
      <c r="B193" s="6">
        <v>2</v>
      </c>
      <c r="C193" s="5" t="s">
        <v>90</v>
      </c>
    </row>
    <row r="194" spans="1:3" ht="12.75" x14ac:dyDescent="0.2">
      <c r="A194" s="5" t="s">
        <v>8</v>
      </c>
      <c r="B194" s="6">
        <v>2</v>
      </c>
      <c r="C194" s="5" t="s">
        <v>91</v>
      </c>
    </row>
    <row r="195" spans="1:3" ht="12.75" x14ac:dyDescent="0.2">
      <c r="A195" s="5" t="s">
        <v>8</v>
      </c>
      <c r="B195" s="6">
        <v>2</v>
      </c>
      <c r="C195" s="5" t="s">
        <v>92</v>
      </c>
    </row>
    <row r="196" spans="1:3" ht="12.75" x14ac:dyDescent="0.2">
      <c r="A196" s="5" t="s">
        <v>8</v>
      </c>
      <c r="B196" s="6">
        <v>2</v>
      </c>
      <c r="C196" s="5" t="s">
        <v>93</v>
      </c>
    </row>
    <row r="197" spans="1:3" ht="12.75" x14ac:dyDescent="0.2">
      <c r="A197" s="5" t="s">
        <v>8</v>
      </c>
      <c r="B197" s="6">
        <v>3</v>
      </c>
      <c r="C197" s="5" t="s">
        <v>155</v>
      </c>
    </row>
    <row r="198" spans="1:3" ht="12.75" x14ac:dyDescent="0.2">
      <c r="A198" s="5" t="s">
        <v>8</v>
      </c>
      <c r="B198" s="6">
        <v>3</v>
      </c>
      <c r="C198" s="5" t="s">
        <v>156</v>
      </c>
    </row>
    <row r="199" spans="1:3" ht="12.75" x14ac:dyDescent="0.2">
      <c r="A199" s="5" t="s">
        <v>8</v>
      </c>
      <c r="B199" s="6">
        <v>3</v>
      </c>
      <c r="C199" s="5" t="s">
        <v>157</v>
      </c>
    </row>
    <row r="200" spans="1:3" ht="12.75" x14ac:dyDescent="0.2">
      <c r="A200" s="5" t="s">
        <v>8</v>
      </c>
      <c r="B200" s="6">
        <v>3</v>
      </c>
      <c r="C200" s="5" t="s">
        <v>158</v>
      </c>
    </row>
    <row r="201" spans="1:3" ht="12.75" x14ac:dyDescent="0.2">
      <c r="A201" s="5" t="s">
        <v>8</v>
      </c>
      <c r="B201" s="6">
        <v>3</v>
      </c>
      <c r="C201" s="5" t="s">
        <v>159</v>
      </c>
    </row>
    <row r="202" spans="1:3" ht="12.75" x14ac:dyDescent="0.2">
      <c r="A202" s="5" t="s">
        <v>8</v>
      </c>
      <c r="B202" s="6">
        <v>3</v>
      </c>
      <c r="C202" s="5" t="s">
        <v>160</v>
      </c>
    </row>
    <row r="203" spans="1:3" ht="15.75" customHeight="1" x14ac:dyDescent="0.25">
      <c r="A203" s="6" t="s">
        <v>8</v>
      </c>
      <c r="B203" s="6">
        <v>3</v>
      </c>
      <c r="C203" s="8" t="s">
        <v>269</v>
      </c>
    </row>
    <row r="204" spans="1:3" ht="12.75" x14ac:dyDescent="0.2">
      <c r="A204" s="5" t="s">
        <v>8</v>
      </c>
      <c r="B204" s="6">
        <v>3</v>
      </c>
      <c r="C204" s="5" t="s">
        <v>161</v>
      </c>
    </row>
    <row r="205" spans="1:3" ht="12.75" x14ac:dyDescent="0.2">
      <c r="A205" s="5" t="s">
        <v>8</v>
      </c>
      <c r="B205" s="6">
        <v>4</v>
      </c>
      <c r="C205" s="5" t="s">
        <v>133</v>
      </c>
    </row>
    <row r="206" spans="1:3" ht="12.75" x14ac:dyDescent="0.2">
      <c r="A206" s="5" t="s">
        <v>8</v>
      </c>
      <c r="B206" s="6">
        <v>4</v>
      </c>
      <c r="C206" s="5" t="s">
        <v>134</v>
      </c>
    </row>
    <row r="207" spans="1:3" ht="12.75" x14ac:dyDescent="0.2">
      <c r="A207" s="5" t="s">
        <v>8</v>
      </c>
      <c r="B207" s="6">
        <v>4</v>
      </c>
      <c r="C207" s="5" t="s">
        <v>135</v>
      </c>
    </row>
    <row r="208" spans="1:3" ht="12.75" x14ac:dyDescent="0.2">
      <c r="A208" s="5" t="s">
        <v>8</v>
      </c>
      <c r="B208" s="6">
        <v>4</v>
      </c>
      <c r="C208" s="5" t="s">
        <v>136</v>
      </c>
    </row>
    <row r="209" spans="1:3" ht="12.75" x14ac:dyDescent="0.2">
      <c r="A209" s="5" t="s">
        <v>8</v>
      </c>
      <c r="B209" s="6">
        <v>4</v>
      </c>
      <c r="C209" s="5" t="s">
        <v>137</v>
      </c>
    </row>
    <row r="210" spans="1:3" ht="12.75" x14ac:dyDescent="0.2">
      <c r="A210" s="5" t="s">
        <v>8</v>
      </c>
      <c r="B210" s="6">
        <v>5</v>
      </c>
      <c r="C210" s="5" t="s">
        <v>250</v>
      </c>
    </row>
    <row r="211" spans="1:3" ht="12.75" x14ac:dyDescent="0.2">
      <c r="A211" s="5" t="s">
        <v>8</v>
      </c>
      <c r="B211" s="6">
        <v>5</v>
      </c>
      <c r="C211" s="5" t="s">
        <v>251</v>
      </c>
    </row>
    <row r="212" spans="1:3" ht="12.75" x14ac:dyDescent="0.2">
      <c r="A212" s="5" t="s">
        <v>8</v>
      </c>
      <c r="B212" s="6">
        <v>5</v>
      </c>
      <c r="C212" s="5" t="s">
        <v>252</v>
      </c>
    </row>
    <row r="213" spans="1:3" ht="12.75" x14ac:dyDescent="0.2">
      <c r="A213" s="5" t="s">
        <v>8</v>
      </c>
      <c r="B213" s="6">
        <v>5</v>
      </c>
      <c r="C213" s="5" t="s">
        <v>253</v>
      </c>
    </row>
    <row r="214" spans="1:3" ht="12.75" x14ac:dyDescent="0.2">
      <c r="A214" s="5" t="s">
        <v>8</v>
      </c>
      <c r="B214" s="6">
        <v>5</v>
      </c>
      <c r="C214" s="5" t="s">
        <v>254</v>
      </c>
    </row>
    <row r="215" spans="1:3" ht="12.75" x14ac:dyDescent="0.2">
      <c r="A215" s="5" t="s">
        <v>8</v>
      </c>
      <c r="B215" s="6">
        <v>6</v>
      </c>
      <c r="C215" s="5" t="s">
        <v>14</v>
      </c>
    </row>
    <row r="216" spans="1:3" ht="12.75" x14ac:dyDescent="0.2">
      <c r="A216" s="5" t="s">
        <v>8</v>
      </c>
      <c r="B216" s="6">
        <v>6</v>
      </c>
      <c r="C216" s="5" t="s">
        <v>15</v>
      </c>
    </row>
    <row r="217" spans="1:3" ht="12.75" x14ac:dyDescent="0.2">
      <c r="A217" s="5" t="s">
        <v>8</v>
      </c>
      <c r="B217" s="6">
        <v>6</v>
      </c>
      <c r="C217" s="5" t="s">
        <v>16</v>
      </c>
    </row>
    <row r="218" spans="1:3" ht="12.75" x14ac:dyDescent="0.2">
      <c r="A218" s="5" t="s">
        <v>8</v>
      </c>
      <c r="B218" s="6">
        <v>6</v>
      </c>
      <c r="C218" s="5" t="s">
        <v>17</v>
      </c>
    </row>
    <row r="219" spans="1:3" ht="12.75" x14ac:dyDescent="0.2">
      <c r="A219" s="5" t="s">
        <v>8</v>
      </c>
      <c r="B219" s="6">
        <v>6</v>
      </c>
      <c r="C219" s="5" t="s">
        <v>18</v>
      </c>
    </row>
    <row r="220" spans="1:3" ht="12.75" x14ac:dyDescent="0.2">
      <c r="A220" s="5" t="s">
        <v>8</v>
      </c>
      <c r="B220" s="6">
        <v>7</v>
      </c>
      <c r="C220" s="5" t="s">
        <v>9</v>
      </c>
    </row>
    <row r="221" spans="1:3" ht="12.75" x14ac:dyDescent="0.2">
      <c r="A221" s="5" t="s">
        <v>8</v>
      </c>
      <c r="B221" s="6">
        <v>7</v>
      </c>
      <c r="C221" s="5" t="s">
        <v>10</v>
      </c>
    </row>
    <row r="222" spans="1:3" ht="12.75" x14ac:dyDescent="0.2">
      <c r="A222" s="5" t="s">
        <v>8</v>
      </c>
      <c r="B222" s="6">
        <v>7</v>
      </c>
      <c r="C222" s="5" t="s">
        <v>11</v>
      </c>
    </row>
    <row r="223" spans="1:3" ht="12.75" x14ac:dyDescent="0.2">
      <c r="A223" s="5" t="s">
        <v>8</v>
      </c>
      <c r="B223" s="6">
        <v>7</v>
      </c>
      <c r="C223" s="5" t="s">
        <v>12</v>
      </c>
    </row>
    <row r="224" spans="1:3" ht="12.75" x14ac:dyDescent="0.2">
      <c r="A224" s="5" t="s">
        <v>8</v>
      </c>
      <c r="B224" s="6">
        <v>7</v>
      </c>
      <c r="C224" s="5" t="s">
        <v>13</v>
      </c>
    </row>
    <row r="225" spans="1:3" ht="12.75" x14ac:dyDescent="0.2">
      <c r="A225" s="5" t="s">
        <v>8</v>
      </c>
      <c r="B225" s="6">
        <v>8</v>
      </c>
      <c r="C225" s="5" t="s">
        <v>56</v>
      </c>
    </row>
    <row r="226" spans="1:3" ht="12.75" x14ac:dyDescent="0.2">
      <c r="A226" s="5" t="s">
        <v>8</v>
      </c>
      <c r="B226" s="6">
        <v>8</v>
      </c>
      <c r="C226" s="5" t="s">
        <v>57</v>
      </c>
    </row>
    <row r="227" spans="1:3" ht="12.75" x14ac:dyDescent="0.2">
      <c r="A227" s="5" t="s">
        <v>8</v>
      </c>
      <c r="B227" s="6">
        <v>8</v>
      </c>
      <c r="C227" s="5" t="s">
        <v>58</v>
      </c>
    </row>
    <row r="228" spans="1:3" ht="12.75" x14ac:dyDescent="0.2">
      <c r="A228" s="5" t="s">
        <v>8</v>
      </c>
      <c r="B228" s="6">
        <v>8</v>
      </c>
      <c r="C228" s="5" t="s">
        <v>59</v>
      </c>
    </row>
    <row r="229" spans="1:3" ht="12.75" x14ac:dyDescent="0.2">
      <c r="A229" s="5" t="s">
        <v>8</v>
      </c>
      <c r="B229" s="6">
        <v>8</v>
      </c>
      <c r="C229" s="5" t="s">
        <v>60</v>
      </c>
    </row>
    <row r="230" spans="1:3" ht="12.75" x14ac:dyDescent="0.2">
      <c r="A230" s="5" t="s">
        <v>8</v>
      </c>
      <c r="B230" s="6">
        <v>9</v>
      </c>
      <c r="C230" s="5" t="s">
        <v>182</v>
      </c>
    </row>
    <row r="231" spans="1:3" ht="12.75" x14ac:dyDescent="0.2">
      <c r="A231" s="5" t="s">
        <v>8</v>
      </c>
      <c r="B231" s="6">
        <v>9</v>
      </c>
      <c r="C231" s="5" t="s">
        <v>183</v>
      </c>
    </row>
    <row r="232" spans="1:3" ht="12.75" x14ac:dyDescent="0.2">
      <c r="A232" s="5" t="s">
        <v>8</v>
      </c>
      <c r="B232" s="6">
        <v>9</v>
      </c>
      <c r="C232" s="5" t="s">
        <v>184</v>
      </c>
    </row>
    <row r="233" spans="1:3" ht="12.75" x14ac:dyDescent="0.2">
      <c r="A233" s="5" t="s">
        <v>8</v>
      </c>
      <c r="B233" s="6">
        <v>9</v>
      </c>
      <c r="C233" s="5" t="s">
        <v>185</v>
      </c>
    </row>
    <row r="234" spans="1:3" ht="12.75" x14ac:dyDescent="0.2">
      <c r="A234" s="5" t="s">
        <v>8</v>
      </c>
      <c r="B234" s="6">
        <v>9</v>
      </c>
      <c r="C234" s="5" t="s">
        <v>186</v>
      </c>
    </row>
    <row r="235" spans="1:3" ht="12.75" x14ac:dyDescent="0.2">
      <c r="A235" s="5" t="s">
        <v>8</v>
      </c>
      <c r="B235" s="6">
        <v>10</v>
      </c>
      <c r="C235" s="5" t="s">
        <v>172</v>
      </c>
    </row>
    <row r="236" spans="1:3" ht="12.75" x14ac:dyDescent="0.2">
      <c r="A236" s="5" t="s">
        <v>8</v>
      </c>
      <c r="B236" s="6">
        <v>10</v>
      </c>
      <c r="C236" s="5" t="s">
        <v>173</v>
      </c>
    </row>
    <row r="237" spans="1:3" ht="12.75" x14ac:dyDescent="0.2">
      <c r="A237" s="5" t="s">
        <v>8</v>
      </c>
      <c r="B237" s="6">
        <v>10</v>
      </c>
      <c r="C237" s="5" t="s">
        <v>174</v>
      </c>
    </row>
    <row r="238" spans="1:3" ht="12.75" x14ac:dyDescent="0.2">
      <c r="A238" s="5" t="s">
        <v>8</v>
      </c>
      <c r="B238" s="6">
        <v>10</v>
      </c>
      <c r="C238" s="5" t="s">
        <v>175</v>
      </c>
    </row>
    <row r="239" spans="1:3" ht="12.75" x14ac:dyDescent="0.2">
      <c r="A239" s="5" t="s">
        <v>8</v>
      </c>
      <c r="B239" s="6">
        <v>10</v>
      </c>
      <c r="C239" s="5" t="s">
        <v>176</v>
      </c>
    </row>
    <row r="240" spans="1:3" ht="12.75" x14ac:dyDescent="0.2">
      <c r="A240" s="5" t="s">
        <v>8</v>
      </c>
      <c r="B240" s="6">
        <v>11</v>
      </c>
      <c r="C240" s="5" t="s">
        <v>187</v>
      </c>
    </row>
    <row r="241" spans="1:3" ht="12.75" x14ac:dyDescent="0.2">
      <c r="A241" s="5" t="s">
        <v>8</v>
      </c>
      <c r="B241" s="6">
        <v>11</v>
      </c>
      <c r="C241" s="5" t="s">
        <v>188</v>
      </c>
    </row>
    <row r="242" spans="1:3" ht="12.75" x14ac:dyDescent="0.2">
      <c r="A242" s="5" t="s">
        <v>8</v>
      </c>
      <c r="B242" s="6">
        <v>11</v>
      </c>
      <c r="C242" s="5" t="s">
        <v>189</v>
      </c>
    </row>
    <row r="243" spans="1:3" ht="12.75" x14ac:dyDescent="0.2">
      <c r="A243" s="5" t="s">
        <v>8</v>
      </c>
      <c r="B243" s="6">
        <v>11</v>
      </c>
      <c r="C243" s="5" t="s">
        <v>190</v>
      </c>
    </row>
    <row r="244" spans="1:3" ht="12.75" x14ac:dyDescent="0.2">
      <c r="A244" s="5" t="s">
        <v>8</v>
      </c>
      <c r="B244" s="6">
        <v>11</v>
      </c>
      <c r="C244" s="5" t="s">
        <v>191</v>
      </c>
    </row>
    <row r="245" spans="1:3" ht="12.75" x14ac:dyDescent="0.2">
      <c r="A245" s="5" t="s">
        <v>8</v>
      </c>
      <c r="B245" s="6">
        <v>12</v>
      </c>
      <c r="C245" s="5" t="s">
        <v>220</v>
      </c>
    </row>
    <row r="246" spans="1:3" ht="12.75" x14ac:dyDescent="0.2">
      <c r="A246" s="5" t="s">
        <v>8</v>
      </c>
      <c r="B246" s="6">
        <v>12</v>
      </c>
      <c r="C246" s="5" t="s">
        <v>221</v>
      </c>
    </row>
    <row r="247" spans="1:3" ht="12.75" x14ac:dyDescent="0.2">
      <c r="A247" s="5" t="s">
        <v>8</v>
      </c>
      <c r="B247" s="6">
        <v>12</v>
      </c>
      <c r="C247" s="5" t="s">
        <v>222</v>
      </c>
    </row>
    <row r="248" spans="1:3" ht="12.75" x14ac:dyDescent="0.2">
      <c r="A248" s="5" t="s">
        <v>8</v>
      </c>
      <c r="B248" s="6">
        <v>12</v>
      </c>
      <c r="C248" s="5" t="s">
        <v>223</v>
      </c>
    </row>
    <row r="249" spans="1:3" ht="12.75" x14ac:dyDescent="0.2">
      <c r="A249" s="5" t="s">
        <v>8</v>
      </c>
      <c r="B249" s="6">
        <v>12</v>
      </c>
      <c r="C249" s="5" t="s">
        <v>224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六年級</vt:lpstr>
      <vt:lpstr>五年級 </vt:lpstr>
      <vt:lpstr>四年級 </vt:lpstr>
      <vt:lpstr>表單回應 1</vt:lpstr>
      <vt:lpstr>三年級</vt:lpstr>
      <vt:lpstr>彙整表</vt:lpstr>
      <vt:lpstr>依年級排序彙整表</vt:lpstr>
      <vt:lpstr>合併列印名冊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2020-09-10T01:54:34Z</dcterms:created>
  <dcterms:modified xsi:type="dcterms:W3CDTF">2020-09-21T01:05:25Z</dcterms:modified>
</cp:coreProperties>
</file>